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5"/>
  </bookViews>
  <sheets>
    <sheet name="Costo final" sheetId="4" r:id="rId1"/>
    <sheet name="Intervención inicial" sheetId="1" r:id="rId2"/>
    <sheet name="Acogimiento" sheetId="2" r:id="rId3"/>
    <sheet name="Integración social" sheetId="3" r:id="rId4"/>
    <sheet name="Anexos" sheetId="5" r:id="rId5"/>
    <sheet name="Hoja1" sheetId="6" r:id="rId6"/>
  </sheets>
  <definedNames>
    <definedName name="CPM">Anexos!$K$10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6" l="1"/>
  <c r="E18" i="6"/>
  <c r="E17" i="6"/>
  <c r="E16" i="6"/>
  <c r="E15" i="6"/>
  <c r="E14" i="6"/>
  <c r="E13" i="6"/>
  <c r="E12" i="6"/>
  <c r="E11" i="6"/>
  <c r="E10" i="6"/>
  <c r="E9" i="6"/>
  <c r="E8" i="6"/>
  <c r="E7" i="6"/>
  <c r="E6" i="6"/>
  <c r="E5" i="6"/>
  <c r="E4" i="6"/>
  <c r="E3" i="6"/>
  <c r="I42" i="3" l="1"/>
  <c r="H42" i="3"/>
  <c r="F42" i="3"/>
  <c r="D42" i="3"/>
  <c r="I16" i="4"/>
  <c r="D19" i="4"/>
  <c r="D18" i="4"/>
  <c r="D17" i="4"/>
  <c r="D16" i="4"/>
  <c r="D15" i="4"/>
  <c r="D14" i="4"/>
  <c r="D13" i="4"/>
  <c r="D12" i="4"/>
  <c r="D11" i="4"/>
  <c r="D10" i="4"/>
  <c r="D9" i="4"/>
  <c r="D8" i="4"/>
  <c r="D7" i="4"/>
  <c r="D6" i="4"/>
  <c r="D5" i="4"/>
  <c r="D4" i="4"/>
  <c r="K21" i="3"/>
  <c r="K20" i="3"/>
  <c r="K19" i="3"/>
  <c r="K18" i="3"/>
  <c r="K17" i="3"/>
  <c r="K16" i="3"/>
  <c r="K15" i="3"/>
  <c r="K14" i="3"/>
  <c r="K13" i="3"/>
  <c r="K12" i="3"/>
  <c r="K11" i="3"/>
  <c r="K10" i="3"/>
  <c r="K9" i="3"/>
  <c r="K8" i="3"/>
  <c r="K7" i="3"/>
  <c r="K6" i="3"/>
  <c r="K5" i="3"/>
  <c r="L54" i="5"/>
  <c r="L53" i="5"/>
  <c r="L52" i="5"/>
  <c r="R5" i="3"/>
  <c r="R4" i="3"/>
  <c r="G99" i="5"/>
  <c r="R6" i="3" l="1"/>
  <c r="I6" i="4" s="1"/>
  <c r="J98" i="5"/>
  <c r="G98" i="5"/>
  <c r="J92" i="5"/>
  <c r="H87" i="5"/>
  <c r="H78" i="5"/>
  <c r="H75" i="5"/>
  <c r="H72" i="5"/>
  <c r="H38" i="5" l="1"/>
  <c r="G38" i="5"/>
  <c r="J36" i="5" s="1"/>
  <c r="I38" i="5"/>
  <c r="D92" i="5"/>
  <c r="C43" i="5"/>
  <c r="D61" i="5"/>
  <c r="C92" i="5"/>
  <c r="J41" i="5" s="1"/>
  <c r="K64" i="5"/>
  <c r="L64" i="5" s="1"/>
  <c r="M64" i="5" s="1"/>
  <c r="D44" i="5" s="1"/>
  <c r="D43" i="5" s="1"/>
  <c r="H18" i="1" l="1"/>
  <c r="I36" i="5"/>
  <c r="E19" i="2" s="1"/>
  <c r="H36" i="5"/>
  <c r="J25" i="5"/>
  <c r="H7" i="1" s="1"/>
  <c r="J33" i="5"/>
  <c r="H15" i="1" s="1"/>
  <c r="J22" i="5"/>
  <c r="J30" i="5"/>
  <c r="H12" i="1" s="1"/>
  <c r="J23" i="5"/>
  <c r="J27" i="5"/>
  <c r="J31" i="5"/>
  <c r="J35" i="5"/>
  <c r="H25" i="5"/>
  <c r="H33" i="5"/>
  <c r="I33" i="5"/>
  <c r="E16" i="2" s="1"/>
  <c r="J29" i="5"/>
  <c r="H11" i="1" s="1"/>
  <c r="J37" i="5"/>
  <c r="H19" i="1" s="1"/>
  <c r="J26" i="5"/>
  <c r="H8" i="1" s="1"/>
  <c r="J34" i="5"/>
  <c r="H16" i="1" s="1"/>
  <c r="J24" i="5"/>
  <c r="J28" i="5"/>
  <c r="J32" i="5"/>
  <c r="H30" i="5" l="1"/>
  <c r="C13" i="3" s="1"/>
  <c r="L13" i="3" s="1"/>
  <c r="M13" i="3" s="1"/>
  <c r="N13" i="3" s="1"/>
  <c r="I29" i="5"/>
  <c r="E12" i="2" s="1"/>
  <c r="I25" i="5"/>
  <c r="E8" i="2" s="1"/>
  <c r="I30" i="5"/>
  <c r="E13" i="2" s="1"/>
  <c r="I26" i="5"/>
  <c r="E9" i="2" s="1"/>
  <c r="H29" i="5"/>
  <c r="C16" i="2"/>
  <c r="D16" i="2" s="1"/>
  <c r="F16" i="2" s="1"/>
  <c r="C16" i="3"/>
  <c r="L16" i="3" s="1"/>
  <c r="M16" i="3" s="1"/>
  <c r="N16" i="3" s="1"/>
  <c r="K33" i="5"/>
  <c r="H4" i="1"/>
  <c r="H22" i="5"/>
  <c r="J38" i="5"/>
  <c r="C13" i="2"/>
  <c r="D13" i="2" s="1"/>
  <c r="H6" i="1"/>
  <c r="I24" i="5"/>
  <c r="E7" i="2" s="1"/>
  <c r="H24" i="5"/>
  <c r="C8" i="2"/>
  <c r="D8" i="2" s="1"/>
  <c r="C8" i="3"/>
  <c r="L8" i="3" s="1"/>
  <c r="M8" i="3" s="1"/>
  <c r="N8" i="3" s="1"/>
  <c r="H5" i="1"/>
  <c r="I23" i="5"/>
  <c r="E6" i="2" s="1"/>
  <c r="H23" i="5"/>
  <c r="H34" i="5"/>
  <c r="H14" i="1"/>
  <c r="I32" i="5"/>
  <c r="E15" i="2" s="1"/>
  <c r="H32" i="5"/>
  <c r="H13" i="1"/>
  <c r="I31" i="5"/>
  <c r="E14" i="2" s="1"/>
  <c r="H31" i="5"/>
  <c r="I22" i="5"/>
  <c r="E5" i="2" s="1"/>
  <c r="H10" i="1"/>
  <c r="I28" i="5"/>
  <c r="E11" i="2" s="1"/>
  <c r="H28" i="5"/>
  <c r="H9" i="1"/>
  <c r="I27" i="5"/>
  <c r="E10" i="2" s="1"/>
  <c r="H27" i="5"/>
  <c r="H26" i="5"/>
  <c r="I37" i="5"/>
  <c r="E20" i="2" s="1"/>
  <c r="H37" i="5"/>
  <c r="H17" i="1"/>
  <c r="I35" i="5"/>
  <c r="E18" i="2" s="1"/>
  <c r="H35" i="5"/>
  <c r="C19" i="2"/>
  <c r="D19" i="2" s="1"/>
  <c r="F19" i="2" s="1"/>
  <c r="C19" i="3"/>
  <c r="L19" i="3" s="1"/>
  <c r="M19" i="3" s="1"/>
  <c r="N19" i="3" s="1"/>
  <c r="K36" i="5"/>
  <c r="I34" i="5"/>
  <c r="E17" i="2" s="1"/>
  <c r="F13" i="2" l="1"/>
  <c r="K29" i="5"/>
  <c r="K25" i="5"/>
  <c r="C12" i="3"/>
  <c r="C12" i="2"/>
  <c r="D12" i="2" s="1"/>
  <c r="F12" i="2" s="1"/>
  <c r="F8" i="2"/>
  <c r="K30" i="5"/>
  <c r="C9" i="2"/>
  <c r="D9" i="2" s="1"/>
  <c r="F9" i="2" s="1"/>
  <c r="C9" i="3"/>
  <c r="L9" i="3" s="1"/>
  <c r="M9" i="3" s="1"/>
  <c r="N9" i="3" s="1"/>
  <c r="K26" i="5"/>
  <c r="C14" i="3"/>
  <c r="L14" i="3" s="1"/>
  <c r="M14" i="3" s="1"/>
  <c r="N14" i="3" s="1"/>
  <c r="C14" i="2"/>
  <c r="D14" i="2" s="1"/>
  <c r="F14" i="2" s="1"/>
  <c r="K31" i="5"/>
  <c r="E13" i="3"/>
  <c r="F13" i="3" s="1"/>
  <c r="H13" i="3"/>
  <c r="I13" i="3" s="1"/>
  <c r="J13" i="3" s="1"/>
  <c r="C20" i="2"/>
  <c r="D20" i="2" s="1"/>
  <c r="F20" i="2" s="1"/>
  <c r="C20" i="3"/>
  <c r="L20" i="3" s="1"/>
  <c r="M20" i="3" s="1"/>
  <c r="N20" i="3" s="1"/>
  <c r="K37" i="5"/>
  <c r="C17" i="2"/>
  <c r="D17" i="2" s="1"/>
  <c r="F17" i="2" s="1"/>
  <c r="C17" i="3"/>
  <c r="L17" i="3" s="1"/>
  <c r="M17" i="3" s="1"/>
  <c r="N17" i="3" s="1"/>
  <c r="K34" i="5"/>
  <c r="H16" i="3"/>
  <c r="I16" i="3" s="1"/>
  <c r="J16" i="3" s="1"/>
  <c r="E16" i="3"/>
  <c r="C11" i="2"/>
  <c r="D11" i="2" s="1"/>
  <c r="F11" i="2" s="1"/>
  <c r="C11" i="3"/>
  <c r="L11" i="3" s="1"/>
  <c r="M11" i="3" s="1"/>
  <c r="N11" i="3" s="1"/>
  <c r="K28" i="5"/>
  <c r="E19" i="3"/>
  <c r="F19" i="3" s="1"/>
  <c r="H19" i="3"/>
  <c r="I19" i="3" s="1"/>
  <c r="J19" i="3" s="1"/>
  <c r="C10" i="2"/>
  <c r="D10" i="2" s="1"/>
  <c r="F10" i="2" s="1"/>
  <c r="K27" i="5"/>
  <c r="C10" i="3"/>
  <c r="L10" i="3" s="1"/>
  <c r="M10" i="3" s="1"/>
  <c r="N10" i="3" s="1"/>
  <c r="K24" i="5"/>
  <c r="C7" i="2"/>
  <c r="D7" i="2" s="1"/>
  <c r="F7" i="2" s="1"/>
  <c r="C7" i="3"/>
  <c r="L7" i="3" s="1"/>
  <c r="M7" i="3" s="1"/>
  <c r="N7" i="3" s="1"/>
  <c r="K35" i="5"/>
  <c r="C18" i="2"/>
  <c r="D18" i="2" s="1"/>
  <c r="F18" i="2" s="1"/>
  <c r="C18" i="3"/>
  <c r="L18" i="3" s="1"/>
  <c r="M18" i="3" s="1"/>
  <c r="N18" i="3" s="1"/>
  <c r="E21" i="2"/>
  <c r="K32" i="5"/>
  <c r="C15" i="2"/>
  <c r="D15" i="2" s="1"/>
  <c r="F15" i="2" s="1"/>
  <c r="C15" i="3"/>
  <c r="L15" i="3" s="1"/>
  <c r="M15" i="3" s="1"/>
  <c r="N15" i="3" s="1"/>
  <c r="C6" i="3"/>
  <c r="L6" i="3" s="1"/>
  <c r="M6" i="3" s="1"/>
  <c r="N6" i="3" s="1"/>
  <c r="C6" i="2"/>
  <c r="D6" i="2" s="1"/>
  <c r="F6" i="2" s="1"/>
  <c r="K23" i="5"/>
  <c r="H8" i="3"/>
  <c r="I8" i="3" s="1"/>
  <c r="J8" i="3" s="1"/>
  <c r="E8" i="3"/>
  <c r="F8" i="3" s="1"/>
  <c r="C5" i="2"/>
  <c r="C5" i="3"/>
  <c r="K22" i="5"/>
  <c r="E5" i="3" l="1"/>
  <c r="F5" i="3" s="1"/>
  <c r="L5" i="3"/>
  <c r="M5" i="3" s="1"/>
  <c r="N5" i="3" s="1"/>
  <c r="N21" i="3" s="1"/>
  <c r="O19" i="3"/>
  <c r="H12" i="3"/>
  <c r="I12" i="3" s="1"/>
  <c r="J12" i="3" s="1"/>
  <c r="L12" i="3"/>
  <c r="M12" i="3" s="1"/>
  <c r="N12" i="3" s="1"/>
  <c r="O8" i="3"/>
  <c r="O13" i="3"/>
  <c r="E18" i="4"/>
  <c r="E12" i="4"/>
  <c r="E12" i="3"/>
  <c r="F12" i="3" s="1"/>
  <c r="K38" i="5"/>
  <c r="F16" i="3"/>
  <c r="O16" i="3" s="1"/>
  <c r="E15" i="3"/>
  <c r="F15" i="3" s="1"/>
  <c r="H15" i="3"/>
  <c r="I15" i="3" s="1"/>
  <c r="J15" i="3" s="1"/>
  <c r="E14" i="3"/>
  <c r="F14" i="3" s="1"/>
  <c r="H14" i="3"/>
  <c r="I14" i="3" s="1"/>
  <c r="J14" i="3" s="1"/>
  <c r="H5" i="3"/>
  <c r="I5" i="3" s="1"/>
  <c r="J5" i="3" s="1"/>
  <c r="C21" i="3"/>
  <c r="E7" i="3"/>
  <c r="F7" i="3" s="1"/>
  <c r="H7" i="3"/>
  <c r="I7" i="3" s="1"/>
  <c r="J7" i="3" s="1"/>
  <c r="D5" i="2"/>
  <c r="C21" i="2"/>
  <c r="E11" i="3"/>
  <c r="F11" i="3" s="1"/>
  <c r="H11" i="3"/>
  <c r="I11" i="3" s="1"/>
  <c r="J11" i="3" s="1"/>
  <c r="E17" i="3"/>
  <c r="F17" i="3" s="1"/>
  <c r="O17" i="3" s="1"/>
  <c r="H17" i="3"/>
  <c r="I17" i="3" s="1"/>
  <c r="J17" i="3" s="1"/>
  <c r="H20" i="3"/>
  <c r="I20" i="3" s="1"/>
  <c r="J20" i="3" s="1"/>
  <c r="E20" i="3"/>
  <c r="F20" i="3" s="1"/>
  <c r="O20" i="3" s="1"/>
  <c r="E9" i="3"/>
  <c r="F9" i="3" s="1"/>
  <c r="O9" i="3" s="1"/>
  <c r="H9" i="3"/>
  <c r="I9" i="3" s="1"/>
  <c r="J9" i="3" s="1"/>
  <c r="E18" i="3"/>
  <c r="F18" i="3" s="1"/>
  <c r="H18" i="3"/>
  <c r="I18" i="3" s="1"/>
  <c r="J18" i="3" s="1"/>
  <c r="E10" i="3"/>
  <c r="F10" i="3" s="1"/>
  <c r="O10" i="3" s="1"/>
  <c r="H10" i="3"/>
  <c r="I10" i="3" s="1"/>
  <c r="J10" i="3" s="1"/>
  <c r="E7" i="4"/>
  <c r="E6" i="3"/>
  <c r="F6" i="3" s="1"/>
  <c r="O6" i="3" s="1"/>
  <c r="H6" i="3"/>
  <c r="I6" i="3" s="1"/>
  <c r="J6" i="3" s="1"/>
  <c r="O18" i="3" l="1"/>
  <c r="O11" i="3"/>
  <c r="O7" i="3"/>
  <c r="O14" i="3"/>
  <c r="H21" i="3"/>
  <c r="L21" i="3"/>
  <c r="M21" i="3" s="1"/>
  <c r="O12" i="3"/>
  <c r="O15" i="3"/>
  <c r="E14" i="4" s="1"/>
  <c r="O5" i="3"/>
  <c r="E5" i="4"/>
  <c r="E11" i="4"/>
  <c r="E17" i="4"/>
  <c r="E10" i="4"/>
  <c r="E6" i="4"/>
  <c r="E13" i="4"/>
  <c r="E15" i="4"/>
  <c r="E9" i="4"/>
  <c r="E8" i="4"/>
  <c r="E19" i="4"/>
  <c r="J21" i="3"/>
  <c r="I21" i="3"/>
  <c r="E21" i="3"/>
  <c r="E16" i="4"/>
  <c r="F5" i="2"/>
  <c r="D21" i="2"/>
  <c r="F21" i="2" l="1"/>
  <c r="F21" i="3"/>
  <c r="D69" i="5"/>
  <c r="C69" i="5"/>
  <c r="C61" i="5"/>
  <c r="C19" i="5"/>
  <c r="L3" i="5" s="1"/>
  <c r="L4" i="5" s="1"/>
  <c r="L5" i="5" s="1"/>
  <c r="L6" i="5" s="1"/>
  <c r="L7" i="5" s="1"/>
  <c r="L8" i="5" s="1"/>
  <c r="L9" i="5" s="1"/>
  <c r="D19" i="5" s="1"/>
  <c r="C18" i="5"/>
  <c r="D74" i="5" l="1"/>
  <c r="M41" i="5" s="1"/>
  <c r="M42" i="5" s="1"/>
  <c r="M43" i="5" s="1"/>
  <c r="M44" i="5" s="1"/>
  <c r="M45" i="5" s="1"/>
  <c r="M46" i="5" s="1"/>
  <c r="D75" i="5" s="1"/>
  <c r="F59" i="5" s="1"/>
  <c r="G59" i="5" s="1"/>
  <c r="H59" i="5" s="1"/>
  <c r="C74" i="5"/>
  <c r="C20" i="5"/>
  <c r="C21" i="5" s="1"/>
  <c r="I3" i="5"/>
  <c r="I4" i="5" s="1"/>
  <c r="I5" i="5" s="1"/>
  <c r="I6" i="5" s="1"/>
  <c r="I7" i="5" s="1"/>
  <c r="I8" i="5" s="1"/>
  <c r="I9" i="5" s="1"/>
  <c r="D18" i="5" s="1"/>
  <c r="D20" i="5" s="1"/>
  <c r="D21" i="5" s="1"/>
  <c r="E4" i="4" l="1"/>
  <c r="E20" i="4" s="1"/>
  <c r="I5" i="4" s="1"/>
  <c r="O21" i="3"/>
  <c r="J42" i="5"/>
  <c r="J43" i="5" s="1"/>
  <c r="J44" i="5" s="1"/>
  <c r="J45" i="5" s="1"/>
  <c r="J46" i="5" s="1"/>
  <c r="L41" i="5"/>
  <c r="L42" i="5" s="1"/>
  <c r="L43" i="5" s="1"/>
  <c r="L44" i="5" s="1"/>
  <c r="L45" i="5" s="1"/>
  <c r="L46" i="5" s="1"/>
  <c r="C75" i="5" s="1"/>
  <c r="C7" i="5"/>
  <c r="F53" i="5" l="1"/>
  <c r="G53" i="5" s="1"/>
  <c r="H53" i="5" s="1"/>
  <c r="C93" i="5"/>
  <c r="D6" i="5"/>
  <c r="C13" i="5" s="1"/>
  <c r="D5" i="5"/>
  <c r="C12" i="5" s="1"/>
  <c r="D7" i="5"/>
  <c r="D4" i="5"/>
  <c r="D93" i="5" l="1"/>
  <c r="F58" i="5" s="1"/>
  <c r="F52" i="5"/>
  <c r="K3" i="5"/>
  <c r="K4" i="5" s="1"/>
  <c r="K5" i="5" s="1"/>
  <c r="K6" i="5" s="1"/>
  <c r="K7" i="5" s="1"/>
  <c r="K8" i="5" s="1"/>
  <c r="K9" i="5" s="1"/>
  <c r="D13" i="5" s="1"/>
  <c r="C11" i="5"/>
  <c r="H3" i="5" s="1"/>
  <c r="H4" i="5" s="1"/>
  <c r="H5" i="5" s="1"/>
  <c r="H6" i="5" s="1"/>
  <c r="H7" i="5" s="1"/>
  <c r="H8" i="5" s="1"/>
  <c r="H9" i="5" s="1"/>
  <c r="D11" i="5" s="1"/>
  <c r="F54" i="5" l="1"/>
  <c r="G54" i="5" s="1"/>
  <c r="G52" i="5"/>
  <c r="H52" i="5" s="1"/>
  <c r="F60" i="5"/>
  <c r="G60" i="5" s="1"/>
  <c r="G58" i="5"/>
  <c r="H58" i="5" s="1"/>
  <c r="D12" i="5"/>
  <c r="D14" i="5" s="1"/>
  <c r="C14" i="5"/>
  <c r="G16" i="2" l="1"/>
  <c r="G8" i="2"/>
  <c r="G12" i="2"/>
  <c r="G19" i="2"/>
  <c r="H19" i="2" s="1"/>
  <c r="G13" i="2"/>
  <c r="G18" i="2"/>
  <c r="G14" i="2"/>
  <c r="G20" i="2"/>
  <c r="G10" i="2"/>
  <c r="G9" i="2"/>
  <c r="G6" i="2"/>
  <c r="H6" i="2" s="1"/>
  <c r="G7" i="2"/>
  <c r="H7" i="2" s="1"/>
  <c r="G15" i="2"/>
  <c r="G17" i="2"/>
  <c r="G11" i="2"/>
  <c r="H11" i="2" s="1"/>
  <c r="G5" i="2"/>
  <c r="I13" i="2"/>
  <c r="I8" i="2"/>
  <c r="I12" i="2"/>
  <c r="I16" i="2"/>
  <c r="I19" i="2"/>
  <c r="I11" i="2"/>
  <c r="I9" i="2"/>
  <c r="I10" i="2"/>
  <c r="I7" i="2"/>
  <c r="I15" i="2"/>
  <c r="I17" i="2"/>
  <c r="I18" i="2"/>
  <c r="I14" i="2"/>
  <c r="I20" i="2"/>
  <c r="I6" i="2"/>
  <c r="I5" i="2"/>
  <c r="J5" i="2" s="1"/>
  <c r="C16" i="1"/>
  <c r="C12" i="1"/>
  <c r="C8" i="1"/>
  <c r="C4" i="1"/>
  <c r="C15" i="1"/>
  <c r="C7" i="1"/>
  <c r="C13" i="1"/>
  <c r="C5" i="1"/>
  <c r="C19" i="1"/>
  <c r="C11" i="1"/>
  <c r="C9" i="1"/>
  <c r="C18" i="1"/>
  <c r="C14" i="1"/>
  <c r="C10" i="1"/>
  <c r="C6" i="1"/>
  <c r="C17" i="1"/>
  <c r="H60" i="5"/>
  <c r="H15" i="2"/>
  <c r="H14" i="2"/>
  <c r="H20" i="2"/>
  <c r="H16" i="2"/>
  <c r="H54" i="5"/>
  <c r="H17" i="2"/>
  <c r="H13" i="2"/>
  <c r="J13" i="2" s="1"/>
  <c r="H10" i="2"/>
  <c r="H9" i="2"/>
  <c r="J10" i="2" l="1"/>
  <c r="J16" i="2"/>
  <c r="K5" i="2"/>
  <c r="L5" i="2" s="1"/>
  <c r="J17" i="2"/>
  <c r="K8" i="2"/>
  <c r="J7" i="2"/>
  <c r="J19" i="2"/>
  <c r="J15" i="2"/>
  <c r="J14" i="2"/>
  <c r="K18" i="2"/>
  <c r="H18" i="2"/>
  <c r="J18" i="2" s="1"/>
  <c r="J9" i="2"/>
  <c r="K12" i="2"/>
  <c r="H8" i="2"/>
  <c r="J8" i="2" s="1"/>
  <c r="J20" i="2"/>
  <c r="K17" i="2"/>
  <c r="L17" i="2" s="1"/>
  <c r="K7" i="2"/>
  <c r="L7" i="2" s="1"/>
  <c r="K6" i="2"/>
  <c r="K10" i="2"/>
  <c r="L10" i="2" s="1"/>
  <c r="J11" i="2"/>
  <c r="K16" i="2"/>
  <c r="L16" i="2" s="1"/>
  <c r="K19" i="2"/>
  <c r="L19" i="2" s="1"/>
  <c r="K20" i="2"/>
  <c r="K15" i="2"/>
  <c r="L15" i="2" s="1"/>
  <c r="H12" i="2"/>
  <c r="J12" i="2" s="1"/>
  <c r="K11" i="2"/>
  <c r="K9" i="2"/>
  <c r="L9" i="2" s="1"/>
  <c r="K13" i="2"/>
  <c r="L13" i="2" s="1"/>
  <c r="K14" i="2"/>
  <c r="L14" i="2" s="1"/>
  <c r="J6" i="2"/>
  <c r="I21" i="2"/>
  <c r="L8" i="2" l="1"/>
  <c r="L18" i="2"/>
  <c r="L12" i="2"/>
  <c r="L20" i="2"/>
  <c r="L11" i="2"/>
  <c r="J21" i="2"/>
  <c r="H5" i="2"/>
  <c r="H21" i="2" s="1"/>
  <c r="G21" i="2"/>
  <c r="L6" i="2" l="1"/>
  <c r="K21" i="2"/>
  <c r="L21" i="2" l="1"/>
  <c r="D20" i="4"/>
  <c r="D13" i="1"/>
  <c r="E13" i="1" s="1"/>
  <c r="M13" i="1" s="1"/>
  <c r="D8" i="1"/>
  <c r="E8" i="1" s="1"/>
  <c r="M8" i="1" s="1"/>
  <c r="D16" i="1"/>
  <c r="E16" i="1" s="1"/>
  <c r="M16" i="1" s="1"/>
  <c r="D15" i="1"/>
  <c r="E15" i="1" s="1"/>
  <c r="M15" i="1" s="1"/>
  <c r="D19" i="1"/>
  <c r="E19" i="1" s="1"/>
  <c r="M19" i="1" s="1"/>
  <c r="D9" i="1"/>
  <c r="E9" i="1" s="1"/>
  <c r="M9" i="1" s="1"/>
  <c r="D11" i="1"/>
  <c r="E11" i="1" s="1"/>
  <c r="M11" i="1" s="1"/>
  <c r="D18" i="1"/>
  <c r="E18" i="1" s="1"/>
  <c r="M18" i="1" s="1"/>
  <c r="D5" i="1"/>
  <c r="D14" i="1"/>
  <c r="E14" i="1" s="1"/>
  <c r="M14" i="1" s="1"/>
  <c r="D6" i="1"/>
  <c r="E6" i="1" s="1"/>
  <c r="M6" i="1" s="1"/>
  <c r="D7" i="1"/>
  <c r="E7" i="1" s="1"/>
  <c r="M7" i="1" s="1"/>
  <c r="D10" i="1"/>
  <c r="E10" i="1" s="1"/>
  <c r="M10" i="1" s="1"/>
  <c r="D12" i="1"/>
  <c r="E12" i="1" s="1"/>
  <c r="M12" i="1" s="1"/>
  <c r="D17" i="1"/>
  <c r="E17" i="1" s="1"/>
  <c r="M17" i="1" s="1"/>
  <c r="E5" i="1" l="1"/>
  <c r="M5" i="1" s="1"/>
  <c r="I7" i="1"/>
  <c r="J7" i="1" s="1"/>
  <c r="N7" i="1" s="1"/>
  <c r="O7" i="1" s="1"/>
  <c r="C20" i="1"/>
  <c r="I6" i="1"/>
  <c r="J6" i="1" s="1"/>
  <c r="I4" i="1"/>
  <c r="C7" i="4" l="1"/>
  <c r="F7" i="4" s="1"/>
  <c r="C6" i="4"/>
  <c r="F6" i="4" s="1"/>
  <c r="N6" i="1"/>
  <c r="O6" i="1" s="1"/>
  <c r="J4" i="1"/>
  <c r="N4" i="1" s="1"/>
  <c r="D4" i="1"/>
  <c r="I8" i="1" l="1"/>
  <c r="J8" i="1" s="1"/>
  <c r="I16" i="1"/>
  <c r="J16" i="1" s="1"/>
  <c r="I18" i="1"/>
  <c r="J18" i="1" s="1"/>
  <c r="I11" i="1"/>
  <c r="J11" i="1" s="1"/>
  <c r="I5" i="1"/>
  <c r="I14" i="1"/>
  <c r="J14" i="1" s="1"/>
  <c r="I17" i="1"/>
  <c r="J17" i="1" s="1"/>
  <c r="D20" i="1"/>
  <c r="E4" i="1"/>
  <c r="M4" i="1" s="1"/>
  <c r="I12" i="1"/>
  <c r="J12" i="1" s="1"/>
  <c r="I19" i="1"/>
  <c r="J19" i="1" s="1"/>
  <c r="I9" i="1"/>
  <c r="J9" i="1" s="1"/>
  <c r="I10" i="1"/>
  <c r="J10" i="1" s="1"/>
  <c r="I13" i="1"/>
  <c r="J13" i="1" s="1"/>
  <c r="I15" i="1"/>
  <c r="J15" i="1" s="1"/>
  <c r="C9" i="4" l="1"/>
  <c r="F9" i="4" s="1"/>
  <c r="N9" i="1"/>
  <c r="O9" i="1" s="1"/>
  <c r="C11" i="4"/>
  <c r="F11" i="4" s="1"/>
  <c r="N11" i="1"/>
  <c r="O11" i="1" s="1"/>
  <c r="C15" i="4"/>
  <c r="F15" i="4" s="1"/>
  <c r="N15" i="1"/>
  <c r="O15" i="1" s="1"/>
  <c r="C17" i="4"/>
  <c r="F17" i="4" s="1"/>
  <c r="N17" i="1"/>
  <c r="O17" i="1" s="1"/>
  <c r="C14" i="4"/>
  <c r="F14" i="4" s="1"/>
  <c r="N14" i="1"/>
  <c r="O14" i="1" s="1"/>
  <c r="C16" i="4"/>
  <c r="F16" i="4" s="1"/>
  <c r="N16" i="1"/>
  <c r="O16" i="1" s="1"/>
  <c r="C19" i="4"/>
  <c r="F19" i="4" s="1"/>
  <c r="N19" i="1"/>
  <c r="O19" i="1" s="1"/>
  <c r="C18" i="4"/>
  <c r="F18" i="4" s="1"/>
  <c r="N18" i="1"/>
  <c r="O18" i="1" s="1"/>
  <c r="C13" i="4"/>
  <c r="F13" i="4" s="1"/>
  <c r="N13" i="1"/>
  <c r="O13" i="1" s="1"/>
  <c r="C12" i="4"/>
  <c r="F12" i="4" s="1"/>
  <c r="N12" i="1"/>
  <c r="O12" i="1" s="1"/>
  <c r="C10" i="4"/>
  <c r="F10" i="4" s="1"/>
  <c r="N10" i="1"/>
  <c r="O10" i="1" s="1"/>
  <c r="C8" i="4"/>
  <c r="F8" i="4" s="1"/>
  <c r="N8" i="1"/>
  <c r="O8" i="1" s="1"/>
  <c r="M20" i="1"/>
  <c r="O4" i="1"/>
  <c r="E20" i="1"/>
  <c r="C4" i="4"/>
  <c r="J5" i="1"/>
  <c r="N5" i="1" s="1"/>
  <c r="I20" i="1"/>
  <c r="O5" i="1" l="1"/>
  <c r="N20" i="1"/>
  <c r="O20" i="1" s="1"/>
  <c r="J20" i="1"/>
  <c r="C5" i="4"/>
  <c r="F5" i="4" s="1"/>
  <c r="F4" i="4"/>
  <c r="F20" i="4" l="1"/>
  <c r="C20" i="4"/>
  <c r="I4" i="4" l="1"/>
  <c r="J4" i="4" s="1"/>
  <c r="J5" i="4" s="1"/>
  <c r="J6" i="4" s="1"/>
  <c r="I15" i="4"/>
  <c r="I17" i="4" s="1"/>
</calcChain>
</file>

<file path=xl/sharedStrings.xml><?xml version="1.0" encoding="utf-8"?>
<sst xmlns="http://schemas.openxmlformats.org/spreadsheetml/2006/main" count="459" uniqueCount="201">
  <si>
    <t>Región</t>
  </si>
  <si>
    <t>Numero</t>
  </si>
  <si>
    <t>Costo</t>
  </si>
  <si>
    <t>Variación zona</t>
  </si>
  <si>
    <t>Total</t>
  </si>
  <si>
    <t>Arica y Parinacota</t>
  </si>
  <si>
    <t>Tarapacá</t>
  </si>
  <si>
    <t>Antofagasta</t>
  </si>
  <si>
    <t>Atacama</t>
  </si>
  <si>
    <t>Coquimbo</t>
  </si>
  <si>
    <t>Valparaíso</t>
  </si>
  <si>
    <t>Metropolitana</t>
  </si>
  <si>
    <t>Ñuble</t>
  </si>
  <si>
    <t>Ohiggins</t>
  </si>
  <si>
    <t>Maule</t>
  </si>
  <si>
    <t>Bío Bío</t>
  </si>
  <si>
    <t>Araucanía</t>
  </si>
  <si>
    <t>Los Ríos</t>
  </si>
  <si>
    <t>Los Lagos</t>
  </si>
  <si>
    <t>Aysén</t>
  </si>
  <si>
    <t>Magallanes</t>
  </si>
  <si>
    <t>Item</t>
  </si>
  <si>
    <t>Costo actual</t>
  </si>
  <si>
    <t>IR</t>
  </si>
  <si>
    <t>Año</t>
  </si>
  <si>
    <t>Porcentaje</t>
  </si>
  <si>
    <t>Operaciones</t>
  </si>
  <si>
    <t>Recursos humanos (IR)</t>
  </si>
  <si>
    <t>Operaciones (IPC)</t>
  </si>
  <si>
    <t>Administración (IPC)</t>
  </si>
  <si>
    <t>Total diagnóstico</t>
  </si>
  <si>
    <t>IPC</t>
  </si>
  <si>
    <t>Porcentaje de gasto por item (UC, 2012)</t>
  </si>
  <si>
    <t>Gasto mensual dividido por item actualizado</t>
  </si>
  <si>
    <t>Costo mensual por diagnóstico (UC, 2012)</t>
  </si>
  <si>
    <t>Total diagnóstico por mes</t>
  </si>
  <si>
    <t xml:space="preserve"> Base 2012</t>
  </si>
  <si>
    <t>Base 2012</t>
  </si>
  <si>
    <t>Costo por mes</t>
  </si>
  <si>
    <t>Costo anual</t>
  </si>
  <si>
    <t>Factor zona</t>
  </si>
  <si>
    <t>Costo proceso de diagnóstico inicial equipos de intervención</t>
  </si>
  <si>
    <t>Porcentaje de gasto capacitación por item (UC, 2012)</t>
  </si>
  <si>
    <t>Total capacitación</t>
  </si>
  <si>
    <t>Costo por funcionario (c50)</t>
  </si>
  <si>
    <t>Costo capacitación funcionarios proceso de intervención</t>
  </si>
  <si>
    <t>NSC</t>
  </si>
  <si>
    <t>Diagnóstico</t>
  </si>
  <si>
    <t>Capacitación</t>
  </si>
  <si>
    <r>
      <t>Lavandería</t>
    </r>
    <r>
      <rPr>
        <sz val="18"/>
        <color rgb="FF000000"/>
        <rFont val="Arial"/>
        <family val="2"/>
      </rPr>
      <t xml:space="preserve"> </t>
    </r>
  </si>
  <si>
    <r>
      <t>Implementos de talleres</t>
    </r>
    <r>
      <rPr>
        <sz val="18"/>
        <color rgb="FF000000"/>
        <rFont val="Arial"/>
        <family val="2"/>
      </rPr>
      <t xml:space="preserve"> </t>
    </r>
  </si>
  <si>
    <t>Items Generales</t>
  </si>
  <si>
    <t>Contribuciones</t>
  </si>
  <si>
    <t>Caja Chica</t>
  </si>
  <si>
    <r>
      <t>Luz</t>
    </r>
    <r>
      <rPr>
        <sz val="18"/>
        <color rgb="FF000000"/>
        <rFont val="Arial"/>
        <family val="2"/>
      </rPr>
      <t xml:space="preserve"> </t>
    </r>
  </si>
  <si>
    <r>
      <t>Agua</t>
    </r>
    <r>
      <rPr>
        <sz val="18"/>
        <color rgb="FF000000"/>
        <rFont val="Arial"/>
        <family val="2"/>
      </rPr>
      <t xml:space="preserve"> </t>
    </r>
  </si>
  <si>
    <r>
      <t>Gas</t>
    </r>
    <r>
      <rPr>
        <sz val="18"/>
        <color rgb="FF000000"/>
        <rFont val="Arial"/>
        <family val="2"/>
      </rPr>
      <t xml:space="preserve"> </t>
    </r>
  </si>
  <si>
    <r>
      <t>Internet/cable/teléfono</t>
    </r>
    <r>
      <rPr>
        <sz val="18"/>
        <color rgb="FF000000"/>
        <rFont val="Arial"/>
        <family val="2"/>
      </rPr>
      <t xml:space="preserve"> </t>
    </r>
  </si>
  <si>
    <r>
      <t>Alarma</t>
    </r>
    <r>
      <rPr>
        <sz val="18"/>
        <color rgb="FF000000"/>
        <rFont val="Arial"/>
        <family val="2"/>
      </rPr>
      <t xml:space="preserve"> </t>
    </r>
  </si>
  <si>
    <t>Movilización</t>
  </si>
  <si>
    <r>
      <t>Materiales de talleres</t>
    </r>
    <r>
      <rPr>
        <sz val="18"/>
        <color rgb="FF000000"/>
        <rFont val="Arial"/>
        <family val="2"/>
      </rPr>
      <t xml:space="preserve"> </t>
    </r>
  </si>
  <si>
    <r>
      <t xml:space="preserve">Material de Oficina </t>
    </r>
    <r>
      <rPr>
        <sz val="18"/>
        <color rgb="FF000000"/>
        <rFont val="Arial"/>
        <family val="2"/>
      </rPr>
      <t xml:space="preserve"> </t>
    </r>
  </si>
  <si>
    <t>Desayunos</t>
  </si>
  <si>
    <t>Colaciones</t>
  </si>
  <si>
    <t>Almuerzos</t>
  </si>
  <si>
    <t>Comidas</t>
  </si>
  <si>
    <r>
      <t>Utiles de Aseo e higiene</t>
    </r>
    <r>
      <rPr>
        <sz val="18"/>
        <color rgb="FF000000"/>
        <rFont val="Arial"/>
        <family val="2"/>
      </rPr>
      <t xml:space="preserve"> </t>
    </r>
  </si>
  <si>
    <t>Salud (remedios, exámenes, etc)</t>
  </si>
  <si>
    <t>Reparaciones y gastos menores</t>
  </si>
  <si>
    <t>Implementos deporte</t>
  </si>
  <si>
    <t>Pasajes-Entradas</t>
  </si>
  <si>
    <t>Celebraciones</t>
  </si>
  <si>
    <r>
      <t>Imprevistos</t>
    </r>
    <r>
      <rPr>
        <sz val="18"/>
        <color rgb="FF000000"/>
        <rFont val="Arial"/>
        <family val="2"/>
      </rPr>
      <t xml:space="preserve"> </t>
    </r>
  </si>
  <si>
    <t>Costo Escuela Hogar Abrazarte</t>
  </si>
  <si>
    <t>Coordinador Escuela</t>
  </si>
  <si>
    <t>Secretaria Asistente</t>
  </si>
  <si>
    <t xml:space="preserve">Trabajador Social </t>
  </si>
  <si>
    <t>Psicólogo</t>
  </si>
  <si>
    <t>Terapeuta Ocupacional</t>
  </si>
  <si>
    <t>Profesor Pintura-Escultura</t>
  </si>
  <si>
    <t>Profesor Teatro</t>
  </si>
  <si>
    <t>Profesor Música</t>
  </si>
  <si>
    <t>Tallerista oficios 1</t>
  </si>
  <si>
    <t>Tallerista oficios 2</t>
  </si>
  <si>
    <t>Tallerista oficios 3</t>
  </si>
  <si>
    <t>Profesor Ed. Física</t>
  </si>
  <si>
    <t>Educador</t>
  </si>
  <si>
    <t>Cocinera</t>
  </si>
  <si>
    <t>Auxiliar Aseo</t>
  </si>
  <si>
    <t>Bienes y servicios</t>
  </si>
  <si>
    <t>1.Equipamiento</t>
  </si>
  <si>
    <t>Arriendo</t>
  </si>
  <si>
    <t>Living comedor*</t>
  </si>
  <si>
    <t>Dormitorios*</t>
  </si>
  <si>
    <t>Equipamiento Cocina*</t>
  </si>
  <si>
    <t>Equipo de Albergue</t>
  </si>
  <si>
    <r>
      <t>2. Alimentación</t>
    </r>
    <r>
      <rPr>
        <b/>
        <sz val="18"/>
        <color rgb="FF000000"/>
        <rFont val="Arial"/>
        <family val="2"/>
      </rPr>
      <t xml:space="preserve"> </t>
    </r>
  </si>
  <si>
    <r>
      <t>3.Recreación</t>
    </r>
    <r>
      <rPr>
        <b/>
        <sz val="18"/>
        <color rgb="FF000000"/>
        <rFont val="Arial"/>
        <family val="2"/>
      </rPr>
      <t xml:space="preserve"> </t>
    </r>
  </si>
  <si>
    <t xml:space="preserve"> Base 2013</t>
  </si>
  <si>
    <t>Base 2013</t>
  </si>
  <si>
    <t>Total costo 2013</t>
  </si>
  <si>
    <t>Total costo reajustado 2018</t>
  </si>
  <si>
    <t>Total reajustado 2018</t>
  </si>
  <si>
    <t>Equipo</t>
  </si>
  <si>
    <t>Niño</t>
  </si>
  <si>
    <t>Por mes</t>
  </si>
  <si>
    <t>Costo Escuela Hogar Abrazarte (sin costo vivienda)</t>
  </si>
  <si>
    <t>Costo Escuela Hogar Abrazarte (con arriendo  vivienda)</t>
  </si>
  <si>
    <t>(sin arriendo)</t>
  </si>
  <si>
    <t>(con arriendo)</t>
  </si>
  <si>
    <t xml:space="preserve">Arriendo </t>
  </si>
  <si>
    <t>Situacion</t>
  </si>
  <si>
    <t>Valor mensual</t>
  </si>
  <si>
    <t>Superficie</t>
  </si>
  <si>
    <t>Terreno m2</t>
  </si>
  <si>
    <t>Plazas</t>
  </si>
  <si>
    <t>Costo pesos</t>
  </si>
  <si>
    <t>Costo a 25</t>
  </si>
  <si>
    <t xml:space="preserve"> UF por plaza</t>
  </si>
  <si>
    <t>Modelo 2 (B. Nacionales)</t>
  </si>
  <si>
    <t>Modelo 3 (50%)</t>
  </si>
  <si>
    <t>Modelo 1 (Con arriendo)</t>
  </si>
  <si>
    <t>%</t>
  </si>
  <si>
    <t>Costo por niño para albergues escuelas para niños con perfil habitual en situación de calle</t>
  </si>
  <si>
    <t>JSC</t>
  </si>
  <si>
    <t>Jóvenes en situación de calle</t>
  </si>
  <si>
    <t>% NSC</t>
  </si>
  <si>
    <t>ADS</t>
  </si>
  <si>
    <t>NSC fuera</t>
  </si>
  <si>
    <t>OHiggins</t>
  </si>
  <si>
    <t>TOTAL</t>
  </si>
  <si>
    <t>Programa de Reunificación Familiar</t>
  </si>
  <si>
    <t>Tratamiento drogas</t>
  </si>
  <si>
    <t>Componente 1</t>
  </si>
  <si>
    <t>Componente 2</t>
  </si>
  <si>
    <t>Componente 3</t>
  </si>
  <si>
    <t>Estimación costo total propuesta</t>
  </si>
  <si>
    <t>Costos estimados en integración social y reparación</t>
  </si>
  <si>
    <t>Prevalencia</t>
  </si>
  <si>
    <t>Costo zona</t>
  </si>
  <si>
    <t>Costo total proceso de diagnóstico</t>
  </si>
  <si>
    <t>NSC habitual</t>
  </si>
  <si>
    <t>Modelo 1</t>
  </si>
  <si>
    <t>Modelo 2</t>
  </si>
  <si>
    <t>Modelo 3</t>
  </si>
  <si>
    <t>Centro Semicerrado Talca 6 Norte Nº 760 - Talca (Base para calculo arriendo)</t>
  </si>
  <si>
    <t>Programa</t>
  </si>
  <si>
    <t>USS</t>
  </si>
  <si>
    <t>Mes/Niño</t>
  </si>
  <si>
    <t>Programa de Apoyo Socioeducativo para Adolescentes Privados de Libertad y en el Medio Libre (ASE)</t>
  </si>
  <si>
    <t xml:space="preserve">Programas de Reinserción Educativa (PDE) </t>
  </si>
  <si>
    <t>Los Programas de Apoyo Socioeducativo (ASE) tienen como propósito implementar una oferta socio-educativa que contribuya en la reinserción social y educacional de adolescentes y jóvenes que se encuentren en el circuito de la LRPA que presenten abandono del sistema escolar, rezago en enseñanza básica o en enseñanza media, necesidad de refuerzo para hacer frente a descensos cognitivos e instrumentales y se encuentran fuera o lejanos a los circuitos de inclusión socio educativos.</t>
  </si>
  <si>
    <t xml:space="preserve">Perfil </t>
  </si>
  <si>
    <t xml:space="preserve">Están desescolarizados. Es decir, con ausencia de matrícula en el año actual o en el momento de ingreso a intervención al programa derivante. b) Presentan fragilidad educativa durante el año escolar en curso. Para definir ello se debe considerar la presencia de al menos un año de rezago escolar sumado a la presencia de, por lo menos, otros tres indicadores de alerta de desvinculación escolar de los señalados en la siguiente tabla. </t>
  </si>
  <si>
    <t>12 a 18 meses</t>
  </si>
  <si>
    <t>Programas de Protección Especializada para Niños, Niñas y Adolescentes con Consumo Problemático de Alcohol y/u Otras Drogas (PDC)</t>
  </si>
  <si>
    <t>Contribuir a la construcción de un proyecto de vida libre de drogas en los niños, niñas y adolescentes del circuito 24 Horas</t>
  </si>
  <si>
    <t>12 meses</t>
  </si>
  <si>
    <t>Programa Ambulatorio Intensivo Medio Libre Senda</t>
  </si>
  <si>
    <t>Psicologo, trabajador social, tecnico rehabilitación, médico, psiquiatra</t>
  </si>
  <si>
    <t>1 año</t>
  </si>
  <si>
    <t>Programa tratamiento consumo NNA en situacion de calle senda, 2018 (Fondo)</t>
  </si>
  <si>
    <t>Reintegración educativa</t>
  </si>
  <si>
    <t>Costo Cupo Casa Compartida Fundación Sentido</t>
  </si>
  <si>
    <t>Mes</t>
  </si>
  <si>
    <t>Cuidado Alternativo</t>
  </si>
  <si>
    <t>Egresados</t>
  </si>
  <si>
    <t>Vigentes</t>
  </si>
  <si>
    <t>Cantidad de mayores 18</t>
  </si>
  <si>
    <t>Cread Pudahuel</t>
  </si>
  <si>
    <t>Programa FS</t>
  </si>
  <si>
    <t>Población potencial</t>
  </si>
  <si>
    <t>Casas compartidas</t>
  </si>
  <si>
    <t>N°</t>
  </si>
  <si>
    <t>Población</t>
  </si>
  <si>
    <t>Costo año/niño</t>
  </si>
  <si>
    <t>Costo total</t>
  </si>
  <si>
    <t>Sacar calle</t>
  </si>
  <si>
    <t>Reintegrar</t>
  </si>
  <si>
    <t>Resumen</t>
  </si>
  <si>
    <t>Casas compartidas*</t>
  </si>
  <si>
    <t>Vigentes PEC</t>
  </si>
  <si>
    <t>Estimación adicional C1</t>
  </si>
  <si>
    <t>Adicional</t>
  </si>
  <si>
    <t>Para detener la situación de los hoy JSC se hace necesario invertir 3147 MM. Si además se espera integrarlos a la sociedad se hace necesario invertir 2.835MM, llegando a un total de 5.983MM. Si además, se considera incorporar casas compartidas para prevenir la calle a egresados a futuros mayores de 18, la cifra llega a 7014 M</t>
  </si>
  <si>
    <t>Trabajo con familia</t>
  </si>
  <si>
    <t>Meta</t>
  </si>
  <si>
    <t>Costo unitario</t>
  </si>
  <si>
    <t>Costo sumado</t>
  </si>
  <si>
    <t>P.Objetivo</t>
  </si>
  <si>
    <t>Tasa</t>
  </si>
  <si>
    <t>O’Higgins</t>
  </si>
  <si>
    <t>Problema con familia</t>
  </si>
  <si>
    <r>
      <rPr>
        <sz val="7"/>
        <color theme="1"/>
        <rFont val="Times New Roman"/>
        <family val="1"/>
      </rPr>
      <t xml:space="preserve"> </t>
    </r>
    <r>
      <rPr>
        <sz val="12"/>
        <color theme="1"/>
        <rFont val="Times New Roman"/>
        <family val="1"/>
      </rPr>
      <t>Abandono residencias</t>
    </r>
  </si>
  <si>
    <t>Problemas con drogas</t>
  </si>
  <si>
    <r>
      <rPr>
        <sz val="7"/>
        <color theme="1"/>
        <rFont val="Times New Roman"/>
        <family val="1"/>
      </rPr>
      <t xml:space="preserve"> </t>
    </r>
    <r>
      <rPr>
        <sz val="12"/>
        <color theme="1"/>
        <rFont val="Times New Roman"/>
        <family val="1"/>
      </rPr>
      <t xml:space="preserve">Por diversión y estar con amigos(as) </t>
    </r>
  </si>
  <si>
    <t>Problemas economicos</t>
  </si>
  <si>
    <t>Problemas salud mental</t>
  </si>
  <si>
    <t>Otros</t>
  </si>
  <si>
    <t>Problemas con la  justicia</t>
  </si>
  <si>
    <t>Problemas en el colegio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</si>
</sst>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64" formatCode="0.0%"/>
    <numFmt numFmtId="165" formatCode="0.00000%"/>
    <numFmt numFmtId="170" formatCode="0.0"/>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0"/>
      <color theme="1"/>
      <name val="Arial"/>
      <family val="2"/>
    </font>
    <font>
      <b/>
      <sz val="11"/>
      <color theme="1"/>
      <name val="Calibri"/>
      <family val="2"/>
    </font>
    <font>
      <sz val="11"/>
      <color theme="1"/>
      <name val="Calibri"/>
      <family val="2"/>
    </font>
    <font>
      <sz val="18"/>
      <color rgb="FF000000"/>
      <name val="Arial"/>
      <family val="2"/>
    </font>
    <font>
      <b/>
      <sz val="18"/>
      <color rgb="FF000000"/>
      <name val="Arial"/>
      <family val="2"/>
    </font>
    <font>
      <sz val="11"/>
      <name val="Calibri"/>
      <family val="2"/>
      <scheme val="minor"/>
    </font>
    <font>
      <i/>
      <sz val="9"/>
      <name val="Arial"/>
      <family val="2"/>
    </font>
    <font>
      <b/>
      <sz val="10"/>
      <name val="Arial"/>
      <family val="2"/>
    </font>
    <font>
      <b/>
      <sz val="9"/>
      <name val="Arial"/>
      <family val="2"/>
    </font>
    <font>
      <b/>
      <sz val="9"/>
      <color theme="0"/>
      <name val="Arial"/>
      <family val="2"/>
    </font>
    <font>
      <b/>
      <sz val="8"/>
      <color theme="0"/>
      <name val="Calibri"/>
      <family val="2"/>
      <scheme val="minor"/>
    </font>
    <font>
      <sz val="11"/>
      <color theme="0"/>
      <name val="Calibri"/>
      <family val="2"/>
      <scheme val="minor"/>
    </font>
    <font>
      <sz val="8"/>
      <color theme="1"/>
      <name val="Calibri"/>
      <family val="2"/>
      <scheme val="minor"/>
    </font>
    <font>
      <sz val="7.5"/>
      <color theme="1"/>
      <name val="Calibri"/>
      <family val="2"/>
    </font>
    <font>
      <b/>
      <sz val="7.5"/>
      <color theme="1"/>
      <name val="Calibri"/>
      <family val="2"/>
    </font>
    <font>
      <b/>
      <sz val="11"/>
      <color rgb="FFFFFFFF"/>
      <name val="Times New Roman"/>
      <family val="1"/>
    </font>
    <font>
      <sz val="11"/>
      <color rgb="FF000000"/>
      <name val="Times New Roman"/>
      <family val="1"/>
    </font>
    <font>
      <b/>
      <sz val="11"/>
      <color theme="1"/>
      <name val="Times New Roman"/>
      <family val="1"/>
    </font>
    <font>
      <b/>
      <sz val="11"/>
      <color rgb="FF000000"/>
      <name val="Times New Roman"/>
      <family val="1"/>
    </font>
    <font>
      <sz val="7"/>
      <color theme="1"/>
      <name val="Times New Roman"/>
      <family val="1"/>
    </font>
    <font>
      <sz val="12"/>
      <color theme="1"/>
      <name val="Times New Roman"/>
      <family val="1"/>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0" fillId="0" borderId="1" xfId="0" applyBorder="1"/>
    <xf numFmtId="0" fontId="0" fillId="0" borderId="1" xfId="0" applyFill="1" applyBorder="1"/>
    <xf numFmtId="0" fontId="0" fillId="0" borderId="1" xfId="0" applyBorder="1" applyAlignment="1">
      <alignment horizontal="center"/>
    </xf>
    <xf numFmtId="0" fontId="3" fillId="0" borderId="1" xfId="0" applyFont="1" applyBorder="1" applyAlignment="1">
      <alignment horizontal="center"/>
    </xf>
    <xf numFmtId="0" fontId="2" fillId="2" borderId="1" xfId="0" applyFont="1" applyFill="1" applyBorder="1" applyAlignment="1">
      <alignment horizontal="center"/>
    </xf>
    <xf numFmtId="0" fontId="2" fillId="2" borderId="1" xfId="0" applyFont="1" applyFill="1" applyBorder="1"/>
    <xf numFmtId="0" fontId="2" fillId="2" borderId="1" xfId="0" applyFont="1" applyFill="1" applyBorder="1" applyAlignment="1">
      <alignment horizontal="center"/>
    </xf>
    <xf numFmtId="42" fontId="0" fillId="0" borderId="1" xfId="1" applyFont="1" applyBorder="1"/>
    <xf numFmtId="0" fontId="2" fillId="3" borderId="1" xfId="0" applyFont="1" applyFill="1" applyBorder="1" applyAlignment="1">
      <alignment horizontal="center"/>
    </xf>
    <xf numFmtId="42" fontId="0" fillId="0" borderId="1" xfId="0" applyNumberFormat="1" applyBorder="1"/>
    <xf numFmtId="42" fontId="0" fillId="0" borderId="1" xfId="0" applyNumberFormat="1" applyBorder="1" applyAlignment="1">
      <alignment horizontal="center"/>
    </xf>
    <xf numFmtId="0" fontId="0" fillId="0" borderId="1" xfId="0" applyBorder="1" applyAlignment="1">
      <alignment horizontal="center"/>
    </xf>
    <xf numFmtId="0" fontId="0" fillId="0" borderId="2" xfId="0" applyBorder="1" applyAlignment="1"/>
    <xf numFmtId="0" fontId="0" fillId="0" borderId="0" xfId="0" applyBorder="1" applyAlignment="1"/>
    <xf numFmtId="0" fontId="0" fillId="0" borderId="0" xfId="0" applyAlignment="1"/>
    <xf numFmtId="0" fontId="2" fillId="3" borderId="1" xfId="0" applyFont="1" applyFill="1" applyBorder="1" applyAlignment="1">
      <alignment horizontal="center"/>
    </xf>
    <xf numFmtId="42" fontId="0" fillId="0" borderId="1" xfId="1" applyFont="1" applyBorder="1" applyAlignment="1">
      <alignment horizontal="center"/>
    </xf>
    <xf numFmtId="9" fontId="0" fillId="0" borderId="1" xfId="2" applyNumberFormat="1" applyFont="1" applyBorder="1" applyAlignment="1">
      <alignment horizontal="center"/>
    </xf>
    <xf numFmtId="164" fontId="0" fillId="0" borderId="1" xfId="0" applyNumberFormat="1" applyBorder="1" applyAlignment="1">
      <alignment horizontal="center"/>
    </xf>
    <xf numFmtId="9" fontId="0" fillId="0" borderId="1" xfId="0" applyNumberFormat="1" applyBorder="1" applyAlignment="1">
      <alignment horizontal="center"/>
    </xf>
    <xf numFmtId="0" fontId="0" fillId="0" borderId="1" xfId="0" applyBorder="1" applyAlignment="1"/>
    <xf numFmtId="0" fontId="0" fillId="0" borderId="4" xfId="0" applyBorder="1" applyAlignment="1"/>
    <xf numFmtId="0" fontId="0" fillId="0" borderId="1" xfId="0" applyFill="1" applyBorder="1" applyAlignment="1"/>
    <xf numFmtId="42" fontId="0" fillId="0" borderId="1" xfId="0" applyNumberFormat="1" applyBorder="1" applyAlignment="1"/>
    <xf numFmtId="9" fontId="0" fillId="0" borderId="1" xfId="2" applyFont="1" applyBorder="1" applyAlignment="1">
      <alignment horizontal="center"/>
    </xf>
    <xf numFmtId="1" fontId="0" fillId="0" borderId="1" xfId="0" applyNumberFormat="1" applyBorder="1" applyAlignment="1">
      <alignment horizontal="center"/>
    </xf>
    <xf numFmtId="0" fontId="4" fillId="4" borderId="1" xfId="0" applyFont="1" applyFill="1" applyBorder="1"/>
    <xf numFmtId="0" fontId="4" fillId="4" borderId="1" xfId="0" applyFont="1" applyFill="1" applyBorder="1" applyAlignment="1">
      <alignment horizontal="center"/>
    </xf>
    <xf numFmtId="42" fontId="4" fillId="4" borderId="1" xfId="0" applyNumberFormat="1" applyFont="1" applyFill="1" applyBorder="1"/>
    <xf numFmtId="42" fontId="7" fillId="0" borderId="1" xfId="1" applyFont="1" applyBorder="1" applyAlignment="1">
      <alignment horizontal="left" vertical="center" wrapText="1"/>
    </xf>
    <xf numFmtId="42" fontId="5" fillId="5" borderId="1" xfId="1" applyFont="1" applyFill="1" applyBorder="1" applyAlignment="1">
      <alignment horizontal="center" vertical="center"/>
    </xf>
    <xf numFmtId="0" fontId="0" fillId="0" borderId="7" xfId="0" applyBorder="1" applyAlignment="1"/>
    <xf numFmtId="42" fontId="5" fillId="4" borderId="1" xfId="1" applyFont="1" applyFill="1" applyBorder="1" applyAlignment="1">
      <alignment horizontal="left" vertical="center"/>
    </xf>
    <xf numFmtId="42" fontId="6" fillId="4" borderId="1" xfId="1" applyFont="1" applyFill="1" applyBorder="1" applyAlignment="1">
      <alignment horizontal="left" vertical="center" wrapText="1"/>
    </xf>
    <xf numFmtId="42" fontId="6" fillId="6" borderId="1" xfId="1" applyFont="1" applyFill="1" applyBorder="1" applyAlignment="1">
      <alignment vertical="center" wrapText="1"/>
    </xf>
    <xf numFmtId="0" fontId="2" fillId="0" borderId="0" xfId="0" applyFont="1" applyFill="1" applyBorder="1" applyAlignment="1"/>
    <xf numFmtId="0" fontId="3" fillId="5" borderId="1" xfId="0" applyFont="1" applyFill="1" applyBorder="1" applyAlignment="1">
      <alignment horizontal="center"/>
    </xf>
    <xf numFmtId="42" fontId="3" fillId="4" borderId="1" xfId="0" applyNumberFormat="1" applyFont="1" applyFill="1" applyBorder="1" applyAlignment="1"/>
    <xf numFmtId="0" fontId="3" fillId="5" borderId="4" xfId="0" applyFont="1" applyFill="1" applyBorder="1" applyAlignment="1">
      <alignment horizontal="center"/>
    </xf>
    <xf numFmtId="0" fontId="3" fillId="4" borderId="4" xfId="0" applyFont="1" applyFill="1" applyBorder="1" applyAlignment="1"/>
    <xf numFmtId="42" fontId="6" fillId="7" borderId="1" xfId="1" applyFont="1" applyFill="1" applyBorder="1" applyAlignment="1">
      <alignment vertical="center" wrapText="1"/>
    </xf>
    <xf numFmtId="42" fontId="7" fillId="7" borderId="1" xfId="1" applyFont="1" applyFill="1" applyBorder="1" applyAlignment="1">
      <alignment horizontal="left" vertical="center" wrapText="1"/>
    </xf>
    <xf numFmtId="4" fontId="11" fillId="0" borderId="1" xfId="0" applyNumberFormat="1" applyFont="1" applyFill="1" applyBorder="1" applyAlignment="1">
      <alignment horizontal="center"/>
    </xf>
    <xf numFmtId="0" fontId="12" fillId="0" borderId="2" xfId="0" applyFont="1" applyFill="1" applyBorder="1" applyAlignment="1"/>
    <xf numFmtId="0" fontId="12" fillId="0" borderId="1" xfId="0" applyFont="1" applyFill="1" applyBorder="1" applyAlignment="1">
      <alignment horizontal="center"/>
    </xf>
    <xf numFmtId="0" fontId="13" fillId="0" borderId="1" xfId="0" applyFont="1" applyFill="1" applyBorder="1" applyAlignment="1">
      <alignment horizontal="center"/>
    </xf>
    <xf numFmtId="0" fontId="11" fillId="0" borderId="1" xfId="0" applyFont="1" applyFill="1" applyBorder="1" applyAlignment="1">
      <alignment horizontal="center"/>
    </xf>
    <xf numFmtId="3" fontId="11" fillId="0" borderId="1" xfId="0" applyNumberFormat="1" applyFont="1" applyFill="1" applyBorder="1" applyAlignment="1">
      <alignment horizontal="center"/>
    </xf>
    <xf numFmtId="42" fontId="7" fillId="7" borderId="1" xfId="1" applyFont="1" applyFill="1" applyBorder="1" applyAlignment="1">
      <alignment vertical="center" wrapText="1"/>
    </xf>
    <xf numFmtId="42" fontId="10" fillId="0" borderId="1" xfId="0" applyNumberFormat="1" applyFont="1" applyFill="1" applyBorder="1" applyAlignment="1"/>
    <xf numFmtId="0" fontId="2" fillId="5" borderId="1" xfId="0" applyFont="1" applyFill="1" applyBorder="1" applyAlignment="1">
      <alignment horizontal="center"/>
    </xf>
    <xf numFmtId="1" fontId="4" fillId="4" borderId="1" xfId="0" applyNumberFormat="1" applyFont="1" applyFill="1" applyBorder="1" applyAlignment="1">
      <alignment horizontal="center"/>
    </xf>
    <xf numFmtId="0" fontId="2" fillId="0" borderId="6" xfId="0" applyFont="1" applyFill="1" applyBorder="1" applyAlignment="1"/>
    <xf numFmtId="9" fontId="2" fillId="2" borderId="1" xfId="0" applyNumberFormat="1" applyFont="1" applyFill="1" applyBorder="1" applyAlignment="1">
      <alignment horizontal="center"/>
    </xf>
    <xf numFmtId="165" fontId="0" fillId="0" borderId="1" xfId="2" applyNumberFormat="1" applyFont="1" applyBorder="1" applyAlignment="1">
      <alignment horizontal="center"/>
    </xf>
    <xf numFmtId="42" fontId="4" fillId="4" borderId="1" xfId="1" applyFont="1" applyFill="1" applyBorder="1"/>
    <xf numFmtId="42" fontId="0" fillId="0" borderId="1" xfId="1" applyFont="1" applyBorder="1" applyAlignment="1"/>
    <xf numFmtId="42" fontId="4" fillId="4" borderId="1" xfId="1" applyFont="1" applyFill="1" applyBorder="1" applyAlignment="1">
      <alignment horizontal="center"/>
    </xf>
    <xf numFmtId="0" fontId="3" fillId="4" borderId="1" xfId="0" applyFont="1" applyFill="1" applyBorder="1" applyAlignment="1">
      <alignment horizontal="center"/>
    </xf>
    <xf numFmtId="0" fontId="0" fillId="0" borderId="0" xfId="0" applyAlignment="1">
      <alignment horizontal="center"/>
    </xf>
    <xf numFmtId="9" fontId="4" fillId="4" borderId="1" xfId="2" applyFont="1" applyFill="1" applyBorder="1" applyAlignment="1">
      <alignment horizontal="center"/>
    </xf>
    <xf numFmtId="9" fontId="3" fillId="4" borderId="1" xfId="0" applyNumberFormat="1" applyFont="1" applyFill="1" applyBorder="1" applyAlignment="1">
      <alignment horizontal="center"/>
    </xf>
    <xf numFmtId="0" fontId="19" fillId="0" borderId="0" xfId="0" applyFont="1" applyFill="1" applyBorder="1" applyAlignment="1">
      <alignment vertical="center" wrapText="1"/>
    </xf>
    <xf numFmtId="0" fontId="18" fillId="0" borderId="0" xfId="0" applyFont="1" applyBorder="1" applyAlignment="1">
      <alignment vertical="center" wrapText="1"/>
    </xf>
    <xf numFmtId="0" fontId="3" fillId="4" borderId="1" xfId="0" applyFont="1" applyFill="1" applyBorder="1" applyAlignment="1"/>
    <xf numFmtId="9" fontId="3" fillId="4" borderId="1" xfId="2" applyFont="1" applyFill="1" applyBorder="1" applyAlignment="1">
      <alignment horizontal="center"/>
    </xf>
    <xf numFmtId="0" fontId="0" fillId="0" borderId="1" xfId="0" applyFont="1" applyFill="1" applyBorder="1" applyAlignment="1">
      <alignment horizontal="center"/>
    </xf>
    <xf numFmtId="1" fontId="0" fillId="0" borderId="1" xfId="0" applyNumberFormat="1" applyFont="1" applyFill="1" applyBorder="1" applyAlignment="1">
      <alignment horizontal="center"/>
    </xf>
    <xf numFmtId="42" fontId="0" fillId="0" borderId="1" xfId="0" applyNumberFormat="1" applyFont="1" applyFill="1" applyBorder="1" applyAlignment="1">
      <alignment horizontal="center"/>
    </xf>
    <xf numFmtId="1" fontId="0" fillId="0" borderId="1" xfId="1" applyNumberFormat="1" applyFont="1" applyBorder="1" applyAlignment="1">
      <alignment horizontal="center"/>
    </xf>
    <xf numFmtId="0" fontId="3" fillId="0" borderId="0" xfId="0" applyFont="1" applyAlignment="1"/>
    <xf numFmtId="42" fontId="0" fillId="0" borderId="1" xfId="0" applyNumberFormat="1" applyFont="1" applyFill="1" applyBorder="1"/>
    <xf numFmtId="42" fontId="1" fillId="0" borderId="1" xfId="1" applyFont="1" applyFill="1" applyBorder="1" applyAlignment="1"/>
    <xf numFmtId="0" fontId="0" fillId="0" borderId="1" xfId="0" applyFont="1" applyFill="1" applyBorder="1" applyAlignment="1"/>
    <xf numFmtId="0" fontId="0" fillId="0" borderId="1" xfId="0" applyFont="1" applyFill="1" applyBorder="1"/>
    <xf numFmtId="0" fontId="2" fillId="2" borderId="1" xfId="0" applyFont="1" applyFill="1" applyBorder="1" applyAlignment="1">
      <alignment horizontal="center"/>
    </xf>
    <xf numFmtId="0" fontId="16" fillId="2" borderId="6" xfId="0" applyFont="1" applyFill="1" applyBorder="1" applyAlignment="1">
      <alignment horizontal="center"/>
    </xf>
    <xf numFmtId="0" fontId="3" fillId="2" borderId="1" xfId="0" applyFont="1" applyFill="1" applyBorder="1" applyAlignment="1">
      <alignment horizontal="center"/>
    </xf>
    <xf numFmtId="0" fontId="17" fillId="0" borderId="1" xfId="0" applyFont="1" applyBorder="1" applyAlignment="1">
      <alignment horizontal="center" wrapText="1"/>
    </xf>
    <xf numFmtId="0" fontId="2" fillId="2" borderId="6" xfId="0" applyFont="1" applyFill="1" applyBorder="1" applyAlignment="1">
      <alignment horizont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xf>
    <xf numFmtId="0" fontId="2" fillId="3" borderId="1" xfId="0" applyFont="1" applyFill="1" applyBorder="1" applyAlignment="1">
      <alignment horizontal="center" vertical="center" wrapText="1"/>
    </xf>
    <xf numFmtId="0" fontId="2" fillId="2" borderId="0" xfId="0" applyFont="1" applyFill="1" applyAlignment="1">
      <alignment horizontal="center"/>
    </xf>
    <xf numFmtId="0" fontId="2" fillId="3" borderId="12" xfId="0" applyFont="1" applyFill="1" applyBorder="1" applyAlignment="1">
      <alignment horizontal="center"/>
    </xf>
    <xf numFmtId="0" fontId="2" fillId="3" borderId="7" xfId="0" applyFont="1" applyFill="1" applyBorder="1" applyAlignment="1">
      <alignment horizontal="center"/>
    </xf>
    <xf numFmtId="0" fontId="2" fillId="3" borderId="13" xfId="0" applyFont="1" applyFill="1" applyBorder="1" applyAlignment="1">
      <alignment horizontal="center"/>
    </xf>
    <xf numFmtId="0" fontId="15" fillId="2" borderId="1" xfId="0" applyFont="1" applyFill="1" applyBorder="1" applyAlignment="1">
      <alignment horizontal="center" vertical="center"/>
    </xf>
    <xf numFmtId="0" fontId="17" fillId="0" borderId="1" xfId="0" applyFont="1" applyBorder="1" applyAlignment="1">
      <alignment horizontal="center" vertical="center" wrapText="1"/>
    </xf>
    <xf numFmtId="42" fontId="0" fillId="0" borderId="1" xfId="1" applyFont="1" applyBorder="1" applyAlignment="1">
      <alignment horizontal="center" vertical="center"/>
    </xf>
    <xf numFmtId="0" fontId="17" fillId="0" borderId="12" xfId="0" applyFont="1" applyBorder="1" applyAlignment="1">
      <alignment horizontal="center" vertical="center" wrapText="1"/>
    </xf>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15" xfId="0" applyFont="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17" fillId="0" borderId="12" xfId="0" applyFont="1" applyBorder="1" applyAlignment="1">
      <alignment horizontal="center" wrapText="1"/>
    </xf>
    <xf numFmtId="0" fontId="17" fillId="0" borderId="7" xfId="0" applyFont="1" applyBorder="1" applyAlignment="1">
      <alignment horizontal="center"/>
    </xf>
    <xf numFmtId="0" fontId="17" fillId="0" borderId="13" xfId="0" applyFont="1" applyBorder="1" applyAlignment="1">
      <alignment horizontal="center"/>
    </xf>
    <xf numFmtId="0" fontId="17" fillId="0" borderId="2" xfId="0" applyFont="1" applyBorder="1" applyAlignment="1">
      <alignment horizontal="center"/>
    </xf>
    <xf numFmtId="0" fontId="17" fillId="0" borderId="0" xfId="0" applyFont="1" applyBorder="1" applyAlignment="1">
      <alignment horizontal="center"/>
    </xf>
    <xf numFmtId="0" fontId="17" fillId="0" borderId="14" xfId="0" applyFont="1" applyBorder="1" applyAlignment="1">
      <alignment horizontal="center"/>
    </xf>
    <xf numFmtId="0" fontId="17" fillId="0" borderId="10" xfId="0" applyFont="1" applyBorder="1" applyAlignment="1">
      <alignment horizontal="center"/>
    </xf>
    <xf numFmtId="0" fontId="17" fillId="0" borderId="6" xfId="0" applyFont="1" applyBorder="1" applyAlignment="1">
      <alignment horizontal="center"/>
    </xf>
    <xf numFmtId="0" fontId="17" fillId="0" borderId="15" xfId="0" applyFont="1" applyBorder="1" applyAlignment="1">
      <alignment horizontal="center"/>
    </xf>
    <xf numFmtId="0" fontId="2" fillId="2" borderId="10" xfId="0" applyFont="1" applyFill="1" applyBorder="1" applyAlignment="1">
      <alignment horizontal="center"/>
    </xf>
    <xf numFmtId="42" fontId="5" fillId="5" borderId="3" xfId="1" applyFont="1" applyFill="1" applyBorder="1" applyAlignment="1">
      <alignment horizontal="center" vertical="center"/>
    </xf>
    <xf numFmtId="42" fontId="5" fillId="5" borderId="5" xfId="1" applyFont="1" applyFill="1" applyBorder="1" applyAlignment="1">
      <alignment horizontal="center" vertical="center"/>
    </xf>
    <xf numFmtId="42" fontId="5" fillId="5" borderId="4" xfId="1" applyFont="1" applyFill="1" applyBorder="1" applyAlignment="1">
      <alignment horizontal="center" vertical="center"/>
    </xf>
    <xf numFmtId="0" fontId="14" fillId="2" borderId="3" xfId="0" applyFont="1" applyFill="1" applyBorder="1" applyAlignment="1">
      <alignment horizontal="left"/>
    </xf>
    <xf numFmtId="0" fontId="14" fillId="2" borderId="5" xfId="0" applyFont="1" applyFill="1" applyBorder="1" applyAlignment="1">
      <alignment horizontal="left"/>
    </xf>
    <xf numFmtId="0" fontId="14" fillId="2" borderId="4" xfId="0" applyFont="1" applyFill="1" applyBorder="1" applyAlignment="1">
      <alignment horizontal="left"/>
    </xf>
    <xf numFmtId="42" fontId="2" fillId="2" borderId="4" xfId="1" applyFont="1" applyFill="1" applyBorder="1" applyAlignment="1">
      <alignment horizontal="center"/>
    </xf>
    <xf numFmtId="42" fontId="2" fillId="2" borderId="1" xfId="1" applyFont="1" applyFill="1" applyBorder="1" applyAlignment="1">
      <alignment horizontal="center"/>
    </xf>
    <xf numFmtId="42" fontId="2" fillId="2" borderId="2" xfId="1" applyFont="1" applyFill="1" applyBorder="1" applyAlignment="1">
      <alignment horizontal="center"/>
    </xf>
    <xf numFmtId="42" fontId="2" fillId="2" borderId="0" xfId="1" applyFont="1" applyFill="1" applyBorder="1" applyAlignment="1">
      <alignment horizontal="center"/>
    </xf>
    <xf numFmtId="42" fontId="5" fillId="5" borderId="2" xfId="1" applyFont="1" applyFill="1" applyBorder="1" applyAlignment="1">
      <alignment horizontal="center" vertical="center"/>
    </xf>
    <xf numFmtId="42" fontId="5" fillId="5" borderId="0" xfId="1" applyFont="1" applyFill="1" applyBorder="1" applyAlignment="1">
      <alignment horizontal="center" vertic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0" fillId="3" borderId="1" xfId="0" applyFont="1" applyFill="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2" fillId="4" borderId="1" xfId="0" applyFont="1" applyFill="1" applyBorder="1" applyAlignment="1">
      <alignment vertical="center"/>
    </xf>
    <xf numFmtId="0" fontId="22" fillId="4" borderId="1" xfId="0" applyFont="1" applyFill="1" applyBorder="1" applyAlignment="1">
      <alignment horizontal="center" vertical="center"/>
    </xf>
    <xf numFmtId="9" fontId="21" fillId="0" borderId="1" xfId="2" applyFont="1" applyBorder="1" applyAlignment="1">
      <alignment horizontal="center" vertical="center"/>
    </xf>
    <xf numFmtId="9" fontId="22" fillId="4" borderId="1" xfId="2" applyFont="1" applyFill="1" applyBorder="1" applyAlignment="1">
      <alignment horizontal="center" vertical="center"/>
    </xf>
    <xf numFmtId="170" fontId="21" fillId="0" borderId="1" xfId="0" applyNumberFormat="1" applyFont="1" applyBorder="1" applyAlignment="1">
      <alignment horizontal="center" vertical="center"/>
    </xf>
    <xf numFmtId="170" fontId="23" fillId="4" borderId="1" xfId="0" applyNumberFormat="1" applyFont="1" applyFill="1" applyBorder="1" applyAlignment="1">
      <alignment horizontal="center" vertical="center"/>
    </xf>
    <xf numFmtId="9" fontId="0" fillId="0" borderId="0" xfId="0" applyNumberFormat="1"/>
    <xf numFmtId="0" fontId="25" fillId="0" borderId="0" xfId="0" applyFont="1" applyAlignment="1">
      <alignment horizontal="justify"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Hoja1!$C$22:$C$30</c:f>
              <c:strCache>
                <c:ptCount val="9"/>
                <c:pt idx="0">
                  <c:v>Problema con familia</c:v>
                </c:pt>
                <c:pt idx="1">
                  <c:v> Abandono residencias</c:v>
                </c:pt>
                <c:pt idx="2">
                  <c:v>Problemas con drogas</c:v>
                </c:pt>
                <c:pt idx="3">
                  <c:v> Por diversión y estar con amigos(as) </c:v>
                </c:pt>
                <c:pt idx="4">
                  <c:v>Problemas con la  justicia</c:v>
                </c:pt>
                <c:pt idx="5">
                  <c:v>Problemas economicos</c:v>
                </c:pt>
                <c:pt idx="6">
                  <c:v>Problemas en el colegio</c:v>
                </c:pt>
                <c:pt idx="7">
                  <c:v>Problemas salud mental</c:v>
                </c:pt>
                <c:pt idx="8">
                  <c:v>Otros</c:v>
                </c:pt>
              </c:strCache>
            </c:strRef>
          </c:cat>
          <c:val>
            <c:numRef>
              <c:f>Hoja1!$D$22:$D$30</c:f>
              <c:numCache>
                <c:formatCode>0%</c:formatCode>
                <c:ptCount val="9"/>
                <c:pt idx="0">
                  <c:v>0.53200000000000003</c:v>
                </c:pt>
                <c:pt idx="1">
                  <c:v>0.188</c:v>
                </c:pt>
                <c:pt idx="2">
                  <c:v>0.18</c:v>
                </c:pt>
                <c:pt idx="3">
                  <c:v>0.13600000000000001</c:v>
                </c:pt>
                <c:pt idx="4">
                  <c:v>4.5999999999999999E-2</c:v>
                </c:pt>
                <c:pt idx="5">
                  <c:v>4.5999999999999999E-2</c:v>
                </c:pt>
                <c:pt idx="6">
                  <c:v>2.8000000000000001E-2</c:v>
                </c:pt>
                <c:pt idx="7">
                  <c:v>0.02</c:v>
                </c:pt>
                <c:pt idx="8">
                  <c:v>0.17299999999999999</c:v>
                </c:pt>
              </c:numCache>
            </c:numRef>
          </c:val>
          <c:extLst>
            <c:ext xmlns:c16="http://schemas.microsoft.com/office/drawing/2014/chart" uri="{C3380CC4-5D6E-409C-BE32-E72D297353CC}">
              <c16:uniqueId val="{00000000-90FD-4FCA-B1EE-004ED7EC5DA2}"/>
            </c:ext>
          </c:extLst>
        </c:ser>
        <c:dLbls>
          <c:dLblPos val="outEnd"/>
          <c:showLegendKey val="0"/>
          <c:showVal val="1"/>
          <c:showCatName val="0"/>
          <c:showSerName val="0"/>
          <c:showPercent val="0"/>
          <c:showBubbleSize val="0"/>
        </c:dLbls>
        <c:gapWidth val="269"/>
        <c:overlap val="-48"/>
        <c:axId val="1372115904"/>
        <c:axId val="1372117152"/>
      </c:barChart>
      <c:catAx>
        <c:axId val="137211590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s-CL"/>
          </a:p>
        </c:txPr>
        <c:crossAx val="1372117152"/>
        <c:crosses val="autoZero"/>
        <c:auto val="1"/>
        <c:lblAlgn val="ctr"/>
        <c:lblOffset val="100"/>
        <c:noMultiLvlLbl val="0"/>
      </c:catAx>
      <c:valAx>
        <c:axId val="137211715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s-CL"/>
          </a:p>
        </c:txPr>
        <c:crossAx val="1372115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685800</xdr:colOff>
      <xdr:row>21</xdr:row>
      <xdr:rowOff>161925</xdr:rowOff>
    </xdr:from>
    <xdr:to>
      <xdr:col>10</xdr:col>
      <xdr:colOff>685800</xdr:colOff>
      <xdr:row>28</xdr:row>
      <xdr:rowOff>304800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workbookViewId="0">
      <selection activeCell="H8" sqref="H8:J11"/>
    </sheetView>
  </sheetViews>
  <sheetFormatPr baseColWidth="10" defaultRowHeight="15" x14ac:dyDescent="0.25"/>
  <cols>
    <col min="2" max="2" width="17.28515625" customWidth="1"/>
    <col min="3" max="3" width="18.85546875" customWidth="1"/>
    <col min="4" max="4" width="15.28515625" customWidth="1"/>
    <col min="5" max="5" width="15.140625" customWidth="1"/>
    <col min="6" max="6" width="14.85546875" customWidth="1"/>
    <col min="8" max="8" width="17.85546875" customWidth="1"/>
    <col min="9" max="9" width="16.140625" customWidth="1"/>
    <col min="10" max="10" width="20.5703125" customWidth="1"/>
  </cols>
  <sheetData>
    <row r="2" spans="2:10" x14ac:dyDescent="0.25">
      <c r="B2" s="76" t="s">
        <v>136</v>
      </c>
      <c r="C2" s="78"/>
      <c r="D2" s="78"/>
      <c r="E2" s="78"/>
      <c r="F2" s="78"/>
    </row>
    <row r="3" spans="2:10" x14ac:dyDescent="0.25">
      <c r="B3" s="9" t="s">
        <v>0</v>
      </c>
      <c r="C3" s="9" t="s">
        <v>133</v>
      </c>
      <c r="D3" s="9" t="s">
        <v>134</v>
      </c>
      <c r="E3" s="9" t="s">
        <v>135</v>
      </c>
      <c r="F3" s="9" t="s">
        <v>4</v>
      </c>
      <c r="H3" s="77" t="s">
        <v>179</v>
      </c>
      <c r="I3" s="77"/>
      <c r="J3" s="77"/>
    </row>
    <row r="4" spans="2:10" x14ac:dyDescent="0.25">
      <c r="B4" s="1" t="s">
        <v>5</v>
      </c>
      <c r="C4" s="10">
        <f>'Intervención inicial'!E4+'Intervención inicial'!J4</f>
        <v>55444597.915307246</v>
      </c>
      <c r="D4" s="10">
        <f>Acogimiento!Q5</f>
        <v>191245935.0574047</v>
      </c>
      <c r="E4" s="10">
        <f>'Integración social'!O5</f>
        <v>201775641.33109397</v>
      </c>
      <c r="F4" s="10">
        <f>SUM(C4:E4)</f>
        <v>448466174.30380595</v>
      </c>
      <c r="H4" s="74" t="s">
        <v>177</v>
      </c>
      <c r="I4" s="72">
        <f>SUM(C20:D20)</f>
        <v>3147492007.054285</v>
      </c>
      <c r="J4" s="72">
        <f>I4</f>
        <v>3147492007.054285</v>
      </c>
    </row>
    <row r="5" spans="2:10" x14ac:dyDescent="0.25">
      <c r="B5" s="1" t="s">
        <v>6</v>
      </c>
      <c r="C5" s="10">
        <f>'Intervención inicial'!E5+'Intervención inicial'!J5</f>
        <v>22477539.695394829</v>
      </c>
      <c r="D5" s="10">
        <f>Acogimiento!Q6</f>
        <v>77532135.834082991</v>
      </c>
      <c r="E5" s="10">
        <f>'Integración social'!O6</f>
        <v>81800935.674767822</v>
      </c>
      <c r="F5" s="10">
        <f t="shared" ref="F5:F19" si="0">SUM(C5:E5)</f>
        <v>181810611.20424563</v>
      </c>
      <c r="H5" s="74" t="s">
        <v>178</v>
      </c>
      <c r="I5" s="73">
        <f>E20</f>
        <v>2835726504.2279534</v>
      </c>
      <c r="J5" s="72">
        <f>J4+I5</f>
        <v>5983218511.282238</v>
      </c>
    </row>
    <row r="6" spans="2:10" x14ac:dyDescent="0.25">
      <c r="B6" s="1" t="s">
        <v>7</v>
      </c>
      <c r="C6" s="10">
        <f>'Intervención inicial'!E6+'Intervención inicial'!J6</f>
        <v>17982031.756315865</v>
      </c>
      <c r="D6" s="10">
        <f>Acogimiento!Q7</f>
        <v>62025708.667266399</v>
      </c>
      <c r="E6" s="10">
        <f>'Integración social'!O7</f>
        <v>65440748.539814256</v>
      </c>
      <c r="F6" s="10">
        <f t="shared" si="0"/>
        <v>145448488.96339652</v>
      </c>
      <c r="H6" s="75" t="s">
        <v>180</v>
      </c>
      <c r="I6" s="10">
        <f>'Integración social'!R6</f>
        <v>1030786516.8539326</v>
      </c>
      <c r="J6" s="72">
        <f>J5+I6</f>
        <v>7014005028.1361704</v>
      </c>
    </row>
    <row r="7" spans="2:10" x14ac:dyDescent="0.25">
      <c r="B7" s="1" t="s">
        <v>8</v>
      </c>
      <c r="C7" s="10">
        <f>'Intervención inicial'!E7+'Intervención inicial'!J7</f>
        <v>14680643.113554746</v>
      </c>
      <c r="D7" s="10">
        <f>Acogimiento!Q8</f>
        <v>50638176.216635458</v>
      </c>
      <c r="E7" s="10">
        <f>'Integración social'!O8</f>
        <v>57622257.279991217</v>
      </c>
      <c r="F7" s="10">
        <f t="shared" si="0"/>
        <v>122941076.61018142</v>
      </c>
    </row>
    <row r="8" spans="2:10" x14ac:dyDescent="0.25">
      <c r="B8" s="1" t="s">
        <v>9</v>
      </c>
      <c r="C8" s="10">
        <f>'Intervención inicial'!E8+'Intervención inicial'!J8</f>
        <v>33365097.985351704</v>
      </c>
      <c r="D8" s="10">
        <f>Acogimiento!Q9</f>
        <v>115086764.12871696</v>
      </c>
      <c r="E8" s="10">
        <f>'Integración social'!O9</f>
        <v>130959675.6363437</v>
      </c>
      <c r="F8" s="10">
        <f t="shared" si="0"/>
        <v>279411537.75041234</v>
      </c>
      <c r="H8" s="79" t="s">
        <v>184</v>
      </c>
      <c r="I8" s="79"/>
      <c r="J8" s="79"/>
    </row>
    <row r="9" spans="2:10" x14ac:dyDescent="0.25">
      <c r="B9" s="1" t="s">
        <v>10</v>
      </c>
      <c r="C9" s="10">
        <f>'Intervención inicial'!E9+'Intervención inicial'!J9</f>
        <v>80778658.280325174</v>
      </c>
      <c r="D9" s="10">
        <f>Acogimiento!Q10</f>
        <v>278631113.15373576</v>
      </c>
      <c r="E9" s="10">
        <f>'Integración social'!O10</f>
        <v>346613105.40868521</v>
      </c>
      <c r="F9" s="10">
        <f t="shared" si="0"/>
        <v>706022876.84274614</v>
      </c>
      <c r="H9" s="79"/>
      <c r="I9" s="79"/>
      <c r="J9" s="79"/>
    </row>
    <row r="10" spans="2:10" x14ac:dyDescent="0.25">
      <c r="B10" s="1" t="s">
        <v>11</v>
      </c>
      <c r="C10" s="10">
        <f>'Intervención inicial'!E10+'Intervención inicial'!J10</f>
        <v>166240137.33052424</v>
      </c>
      <c r="D10" s="10">
        <f>Acogimiento!Q11</f>
        <v>573414754.60623884</v>
      </c>
      <c r="E10" s="10">
        <f>'Integración social'!O11</f>
        <v>713319724.17439556</v>
      </c>
      <c r="F10" s="10">
        <f t="shared" si="0"/>
        <v>1452974616.1111586</v>
      </c>
      <c r="H10" s="79"/>
      <c r="I10" s="79"/>
      <c r="J10" s="79"/>
    </row>
    <row r="11" spans="2:10" x14ac:dyDescent="0.25">
      <c r="B11" s="1" t="s">
        <v>13</v>
      </c>
      <c r="C11" s="10">
        <f>'Intervención inicial'!E11+'Intervención inicial'!J11</f>
        <v>8194936.3472793642</v>
      </c>
      <c r="D11" s="10">
        <f>Acogimiento!Q12</f>
        <v>28266924.522842761</v>
      </c>
      <c r="E11" s="10">
        <f>'Integración social'!O12</f>
        <v>35163648.374794148</v>
      </c>
      <c r="F11" s="10">
        <f t="shared" si="0"/>
        <v>71625509.244916275</v>
      </c>
      <c r="H11" s="79"/>
      <c r="I11" s="79"/>
      <c r="J11" s="79"/>
    </row>
    <row r="12" spans="2:10" x14ac:dyDescent="0.25">
      <c r="B12" s="1" t="s">
        <v>14</v>
      </c>
      <c r="C12" s="10">
        <f>'Intervención inicial'!E12+'Intervención inicial'!J12</f>
        <v>57364554.430955559</v>
      </c>
      <c r="D12" s="10">
        <f>Acogimiento!Q13</f>
        <v>197868471.65989935</v>
      </c>
      <c r="E12" s="10">
        <f>'Integración social'!O13</f>
        <v>246145538.62355906</v>
      </c>
      <c r="F12" s="10">
        <f t="shared" si="0"/>
        <v>501378564.714414</v>
      </c>
    </row>
    <row r="13" spans="2:10" x14ac:dyDescent="0.25">
      <c r="B13" s="1" t="s">
        <v>12</v>
      </c>
      <c r="C13" s="10">
        <f>'Intervención inicial'!E13+'Intervención inicial'!J13</f>
        <v>1334603.9194140683</v>
      </c>
      <c r="D13" s="10">
        <f>Acogimiento!Q14</f>
        <v>4603470.5651486777</v>
      </c>
      <c r="E13" s="10">
        <f>'Integración social'!O14</f>
        <v>5238387.0254537473</v>
      </c>
      <c r="F13" s="10">
        <f t="shared" si="0"/>
        <v>11176461.510016493</v>
      </c>
      <c r="H13" s="76" t="s">
        <v>182</v>
      </c>
      <c r="I13" s="76"/>
    </row>
    <row r="14" spans="2:10" x14ac:dyDescent="0.25">
      <c r="B14" s="1" t="s">
        <v>15</v>
      </c>
      <c r="C14" s="10">
        <f>'Intervención inicial'!E14+'Intervención inicial'!J14</f>
        <v>78741631.245430022</v>
      </c>
      <c r="D14" s="10">
        <f>Acogimiento!Q15</f>
        <v>271604763.34377199</v>
      </c>
      <c r="E14" s="10">
        <f>'Integración social'!O15</f>
        <v>309064834.50177109</v>
      </c>
      <c r="F14" s="10">
        <f t="shared" si="0"/>
        <v>659411229.09097314</v>
      </c>
      <c r="H14" s="4" t="s">
        <v>21</v>
      </c>
      <c r="I14" s="4" t="s">
        <v>181</v>
      </c>
    </row>
    <row r="15" spans="2:10" x14ac:dyDescent="0.25">
      <c r="B15" s="1" t="s">
        <v>16</v>
      </c>
      <c r="C15" s="10">
        <f>'Intervención inicial'!E15+'Intervención inicial'!J15</f>
        <v>30695890.146523565</v>
      </c>
      <c r="D15" s="10">
        <f>Acogimiento!Q16</f>
        <v>105879822.9984196</v>
      </c>
      <c r="E15" s="10">
        <f>'Integración social'!O16</f>
        <v>120482901.5854362</v>
      </c>
      <c r="F15" s="10">
        <f t="shared" si="0"/>
        <v>257058614.73037937</v>
      </c>
      <c r="H15" s="1" t="s">
        <v>30</v>
      </c>
      <c r="I15" s="10">
        <f>C20</f>
        <v>707410319.60100412</v>
      </c>
    </row>
    <row r="16" spans="2:10" x14ac:dyDescent="0.25">
      <c r="B16" s="1" t="s">
        <v>17</v>
      </c>
      <c r="C16" s="10">
        <f>'Intervención inicial'!E16+'Intervención inicial'!J16</f>
        <v>17349850.952382881</v>
      </c>
      <c r="D16" s="10">
        <f>Acogimiento!Q17</f>
        <v>59845117.346932814</v>
      </c>
      <c r="E16" s="10">
        <f>'Integración social'!O17</f>
        <v>68099031.330898717</v>
      </c>
      <c r="F16" s="10">
        <f t="shared" si="0"/>
        <v>145293999.63021439</v>
      </c>
      <c r="H16" s="1" t="s">
        <v>181</v>
      </c>
      <c r="I16" s="8">
        <f>334*((9.3*16250)*12)</f>
        <v>605709000</v>
      </c>
    </row>
    <row r="17" spans="1:9" x14ac:dyDescent="0.25">
      <c r="B17" s="2" t="s">
        <v>18</v>
      </c>
      <c r="C17" s="10">
        <f>'Intervención inicial'!E17+'Intervención inicial'!J17</f>
        <v>110491156.06517521</v>
      </c>
      <c r="D17" s="10">
        <f>Acogimiento!Q18</f>
        <v>381118905.20941424</v>
      </c>
      <c r="E17" s="10">
        <f>'Integración social'!O18</f>
        <v>416979526.74709249</v>
      </c>
      <c r="F17" s="10">
        <f t="shared" si="0"/>
        <v>908589588.0216819</v>
      </c>
      <c r="H17" s="2" t="s">
        <v>183</v>
      </c>
      <c r="I17" s="10">
        <f>I15-I16</f>
        <v>101701319.60100412</v>
      </c>
    </row>
    <row r="18" spans="1:9" x14ac:dyDescent="0.25">
      <c r="B18" s="2" t="s">
        <v>19</v>
      </c>
      <c r="C18" s="10">
        <f>'Intervención inicial'!E18+'Intervención inicial'!J18</f>
        <v>8616390.2165680192</v>
      </c>
      <c r="D18" s="10">
        <f>Acogimiento!Q19</f>
        <v>29720652.069731809</v>
      </c>
      <c r="E18" s="10">
        <f>'Integración social'!O19</f>
        <v>25253721.825763799</v>
      </c>
      <c r="F18" s="10">
        <f t="shared" si="0"/>
        <v>63590764.112063624</v>
      </c>
    </row>
    <row r="19" spans="1:9" x14ac:dyDescent="0.25">
      <c r="B19" s="2" t="s">
        <v>20</v>
      </c>
      <c r="C19" s="10">
        <f>'Intervención inicial'!E19+'Intervención inicial'!J19</f>
        <v>3652600.2005016608</v>
      </c>
      <c r="D19" s="10">
        <f>Acogimiento!Q20</f>
        <v>12598972.073038485</v>
      </c>
      <c r="E19" s="10">
        <f>'Integración social'!O20</f>
        <v>11766826.168092139</v>
      </c>
      <c r="F19" s="10">
        <f t="shared" si="0"/>
        <v>28018398.441632286</v>
      </c>
    </row>
    <row r="20" spans="1:9" x14ac:dyDescent="0.25">
      <c r="B20" s="27" t="s">
        <v>4</v>
      </c>
      <c r="C20" s="56">
        <f>SUM(C4:C19)</f>
        <v>707410319.60100412</v>
      </c>
      <c r="D20" s="56">
        <f t="shared" ref="D20:E20" si="1">SUM(D4:D19)</f>
        <v>2440081687.4532809</v>
      </c>
      <c r="E20" s="56">
        <f t="shared" si="1"/>
        <v>2835726504.2279534</v>
      </c>
      <c r="F20" s="29">
        <f>SUM(F4:F19)</f>
        <v>5983218511.282238</v>
      </c>
    </row>
    <row r="21" spans="1:9" x14ac:dyDescent="0.25">
      <c r="A21" s="71"/>
      <c r="B21" s="71"/>
    </row>
    <row r="22" spans="1:9" x14ac:dyDescent="0.25">
      <c r="A22" s="71"/>
      <c r="B22" s="71"/>
      <c r="C22" s="77" t="s">
        <v>179</v>
      </c>
      <c r="D22" s="77"/>
      <c r="E22" s="77"/>
    </row>
    <row r="23" spans="1:9" x14ac:dyDescent="0.25">
      <c r="A23" s="71"/>
      <c r="B23" s="71"/>
      <c r="C23" s="51" t="s">
        <v>186</v>
      </c>
      <c r="D23" s="51" t="s">
        <v>187</v>
      </c>
      <c r="E23" s="51" t="s">
        <v>188</v>
      </c>
    </row>
    <row r="24" spans="1:9" x14ac:dyDescent="0.25">
      <c r="C24" s="74" t="s">
        <v>177</v>
      </c>
      <c r="D24" s="72">
        <v>3147492007.054285</v>
      </c>
      <c r="E24" s="72">
        <v>3147492007.054285</v>
      </c>
    </row>
    <row r="25" spans="1:9" x14ac:dyDescent="0.25">
      <c r="C25" s="74" t="s">
        <v>178</v>
      </c>
      <c r="D25" s="73">
        <v>2835726504.2279534</v>
      </c>
      <c r="E25" s="72">
        <v>5983218511.282238</v>
      </c>
    </row>
    <row r="26" spans="1:9" x14ac:dyDescent="0.25">
      <c r="C26" s="75" t="s">
        <v>180</v>
      </c>
      <c r="D26" s="10">
        <v>1030786516.8539326</v>
      </c>
      <c r="E26" s="72">
        <v>7014005028.1361704</v>
      </c>
    </row>
  </sheetData>
  <mergeCells count="5">
    <mergeCell ref="H13:I13"/>
    <mergeCell ref="C22:E22"/>
    <mergeCell ref="B2:F2"/>
    <mergeCell ref="H3:J3"/>
    <mergeCell ref="H8:J1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0"/>
  <sheetViews>
    <sheetView workbookViewId="0">
      <selection activeCell="E9" sqref="E9"/>
    </sheetView>
  </sheetViews>
  <sheetFormatPr baseColWidth="10" defaultColWidth="9.140625" defaultRowHeight="15" x14ac:dyDescent="0.25"/>
  <cols>
    <col min="2" max="2" width="18.140625" customWidth="1"/>
    <col min="3" max="3" width="15.42578125" customWidth="1"/>
    <col min="4" max="4" width="16.5703125" customWidth="1"/>
    <col min="5" max="5" width="16.85546875" customWidth="1"/>
    <col min="7" max="7" width="18" customWidth="1"/>
    <col min="8" max="8" width="11.85546875" bestFit="1" customWidth="1"/>
    <col min="9" max="9" width="14" customWidth="1"/>
    <col min="10" max="10" width="16.5703125" customWidth="1"/>
    <col min="12" max="12" width="17" customWidth="1"/>
    <col min="13" max="14" width="13.85546875" customWidth="1"/>
    <col min="15" max="15" width="15.5703125" customWidth="1"/>
  </cols>
  <sheetData>
    <row r="2" spans="2:15" x14ac:dyDescent="0.25">
      <c r="B2" s="80" t="s">
        <v>41</v>
      </c>
      <c r="C2" s="80"/>
      <c r="D2" s="80"/>
      <c r="E2" s="80"/>
      <c r="G2" s="80" t="s">
        <v>45</v>
      </c>
      <c r="H2" s="80"/>
      <c r="I2" s="80"/>
      <c r="J2" s="80"/>
      <c r="L2" s="80" t="s">
        <v>140</v>
      </c>
      <c r="M2" s="80"/>
      <c r="N2" s="80"/>
      <c r="O2" s="80"/>
    </row>
    <row r="3" spans="2:15" x14ac:dyDescent="0.25">
      <c r="B3" s="9" t="s">
        <v>0</v>
      </c>
      <c r="C3" s="9" t="s">
        <v>38</v>
      </c>
      <c r="D3" s="9" t="s">
        <v>39</v>
      </c>
      <c r="E3" s="9" t="s">
        <v>3</v>
      </c>
      <c r="G3" s="9" t="s">
        <v>0</v>
      </c>
      <c r="H3" s="9" t="s">
        <v>1</v>
      </c>
      <c r="I3" s="9" t="s">
        <v>39</v>
      </c>
      <c r="J3" s="9" t="s">
        <v>3</v>
      </c>
      <c r="L3" s="16" t="s">
        <v>0</v>
      </c>
      <c r="M3" s="16" t="s">
        <v>47</v>
      </c>
      <c r="N3" s="16" t="s">
        <v>48</v>
      </c>
      <c r="O3" s="16" t="s">
        <v>4</v>
      </c>
    </row>
    <row r="4" spans="2:15" x14ac:dyDescent="0.25">
      <c r="B4" s="1" t="s">
        <v>5</v>
      </c>
      <c r="C4" s="10">
        <f>Anexos!K22*Anexos!$D$14</f>
        <v>7157156.8078661216</v>
      </c>
      <c r="D4" s="10">
        <f>C4*6</f>
        <v>42942940.847196728</v>
      </c>
      <c r="E4" s="10">
        <f>D4+(D4*Anexos!O3)</f>
        <v>54966964.28441181</v>
      </c>
      <c r="G4" s="1" t="s">
        <v>5</v>
      </c>
      <c r="H4" s="26">
        <f>$H$20*Anexos!J22</f>
        <v>19.345521023765997</v>
      </c>
      <c r="I4" s="10">
        <f>H4*Anexos!$D$21</f>
        <v>373151.2741370601</v>
      </c>
      <c r="J4" s="10">
        <f>I4+(I4*Anexos!O3)</f>
        <v>477633.63089543692</v>
      </c>
      <c r="L4" s="1" t="s">
        <v>5</v>
      </c>
      <c r="M4" s="17">
        <f>E4</f>
        <v>54966964.28441181</v>
      </c>
      <c r="N4" s="10">
        <f>J4</f>
        <v>477633.63089543692</v>
      </c>
      <c r="O4" s="10">
        <f>SUM(M4:N4)</f>
        <v>55444597.915307246</v>
      </c>
    </row>
    <row r="5" spans="2:15" x14ac:dyDescent="0.25">
      <c r="B5" s="1" t="s">
        <v>6</v>
      </c>
      <c r="C5" s="10">
        <f>Anexos!K23*Anexos!$D$14</f>
        <v>2901550.0572430221</v>
      </c>
      <c r="D5" s="10">
        <f t="shared" ref="D5:D19" si="0">C5*6</f>
        <v>17409300.343458131</v>
      </c>
      <c r="E5" s="10">
        <f>D5+(D5*Anexos!O4)</f>
        <v>22283904.439626407</v>
      </c>
      <c r="G5" s="1" t="s">
        <v>6</v>
      </c>
      <c r="H5" s="26">
        <f>$H$20*Anexos!J23</f>
        <v>7.8427787934186473</v>
      </c>
      <c r="I5" s="10">
        <f>H5*Anexos!$D$21</f>
        <v>151277.54356907841</v>
      </c>
      <c r="J5" s="10">
        <f>I5+(I5*Anexos!O4)</f>
        <v>193635.25576842035</v>
      </c>
      <c r="L5" s="1" t="s">
        <v>6</v>
      </c>
      <c r="M5" s="17">
        <f t="shared" ref="M5:M19" si="1">E5</f>
        <v>22283904.439626407</v>
      </c>
      <c r="N5" s="10">
        <f t="shared" ref="N5:N19" si="2">J5</f>
        <v>193635.25576842035</v>
      </c>
      <c r="O5" s="10">
        <f t="shared" ref="O5:O20" si="3">SUM(M5:N5)</f>
        <v>22477539.695394829</v>
      </c>
    </row>
    <row r="6" spans="2:15" x14ac:dyDescent="0.25">
      <c r="B6" s="1" t="s">
        <v>7</v>
      </c>
      <c r="C6" s="10">
        <f>Anexos!K24*Anexos!$D$14</f>
        <v>2321240.0457944176</v>
      </c>
      <c r="D6" s="10">
        <f t="shared" si="0"/>
        <v>13927440.274766505</v>
      </c>
      <c r="E6" s="10">
        <f>D6+(D6*Anexos!O5)</f>
        <v>17827123.551701128</v>
      </c>
      <c r="G6" s="1" t="s">
        <v>7</v>
      </c>
      <c r="H6" s="26">
        <f>$H$20*Anexos!J24</f>
        <v>6.2742230347349173</v>
      </c>
      <c r="I6" s="10">
        <f>H6*Anexos!$D$21</f>
        <v>121022.03485526271</v>
      </c>
      <c r="J6" s="10">
        <f>I6+(I6*Anexos!O5)</f>
        <v>154908.20461473626</v>
      </c>
      <c r="L6" s="1" t="s">
        <v>7</v>
      </c>
      <c r="M6" s="17">
        <f t="shared" si="1"/>
        <v>17827123.551701128</v>
      </c>
      <c r="N6" s="10">
        <f t="shared" si="2"/>
        <v>154908.20461473626</v>
      </c>
      <c r="O6" s="10">
        <f t="shared" si="3"/>
        <v>17982031.756315865</v>
      </c>
    </row>
    <row r="7" spans="2:15" x14ac:dyDescent="0.25">
      <c r="B7" s="1" t="s">
        <v>8</v>
      </c>
      <c r="C7" s="10">
        <f>Anexos!K25*Anexos!$D$14</f>
        <v>2127803.3753115493</v>
      </c>
      <c r="D7" s="10">
        <f t="shared" si="0"/>
        <v>12766820.251869295</v>
      </c>
      <c r="E7" s="10">
        <f>D7+(D7*Anexos!O6)</f>
        <v>14554175.087130995</v>
      </c>
      <c r="G7" s="1" t="s">
        <v>8</v>
      </c>
      <c r="H7" s="26">
        <f>$H$20*Anexos!J25</f>
        <v>5.7513711151736748</v>
      </c>
      <c r="I7" s="10">
        <f>H7*Anexos!$D$21</f>
        <v>110936.86528399083</v>
      </c>
      <c r="J7" s="10">
        <f>I7+(I7*Anexos!O6)</f>
        <v>126468.02642374954</v>
      </c>
      <c r="L7" s="1" t="s">
        <v>8</v>
      </c>
      <c r="M7" s="17">
        <f t="shared" si="1"/>
        <v>14554175.087130995</v>
      </c>
      <c r="N7" s="10">
        <f t="shared" si="2"/>
        <v>126468.02642374954</v>
      </c>
      <c r="O7" s="10">
        <f t="shared" si="3"/>
        <v>14680643.113554746</v>
      </c>
    </row>
    <row r="8" spans="2:15" x14ac:dyDescent="0.25">
      <c r="B8" s="1" t="s">
        <v>9</v>
      </c>
      <c r="C8" s="10">
        <f>Anexos!K26*Anexos!$D$14</f>
        <v>4835916.7620717036</v>
      </c>
      <c r="D8" s="10">
        <f t="shared" si="0"/>
        <v>29015500.572430223</v>
      </c>
      <c r="E8" s="10">
        <f>D8+(D8*Anexos!O7)</f>
        <v>33077670.652570456</v>
      </c>
      <c r="G8" s="1" t="s">
        <v>9</v>
      </c>
      <c r="H8" s="26">
        <f>$H$20*Anexos!J26</f>
        <v>13.071297989031081</v>
      </c>
      <c r="I8" s="10">
        <f>H8*Anexos!$D$21</f>
        <v>252129.23928179737</v>
      </c>
      <c r="J8" s="10">
        <f>I8+(I8*Anexos!O7)</f>
        <v>287427.33278124902</v>
      </c>
      <c r="L8" s="1" t="s">
        <v>9</v>
      </c>
      <c r="M8" s="17">
        <f t="shared" si="1"/>
        <v>33077670.652570456</v>
      </c>
      <c r="N8" s="10">
        <f t="shared" si="2"/>
        <v>287427.33278124902</v>
      </c>
      <c r="O8" s="10">
        <f t="shared" si="3"/>
        <v>33365097.985351704</v>
      </c>
    </row>
    <row r="9" spans="2:15" x14ac:dyDescent="0.25">
      <c r="B9" s="1" t="s">
        <v>10</v>
      </c>
      <c r="C9" s="10">
        <f>Anexos!K27*Anexos!$D$14</f>
        <v>13347130.263317902</v>
      </c>
      <c r="D9" s="10">
        <f t="shared" si="0"/>
        <v>80082781.579907417</v>
      </c>
      <c r="E9" s="10">
        <f>D9+(D9*Anexos!O8)</f>
        <v>80082781.579907417</v>
      </c>
      <c r="G9" s="1" t="s">
        <v>10</v>
      </c>
      <c r="H9" s="26">
        <f>$H$20*Anexos!J27</f>
        <v>36.076782449725776</v>
      </c>
      <c r="I9" s="10">
        <f>H9*Anexos!$D$21</f>
        <v>695876.70041776064</v>
      </c>
      <c r="J9" s="10">
        <f>I9+(I9*Anexos!O8)</f>
        <v>695876.70041776064</v>
      </c>
      <c r="L9" s="1" t="s">
        <v>10</v>
      </c>
      <c r="M9" s="17">
        <f t="shared" si="1"/>
        <v>80082781.579907417</v>
      </c>
      <c r="N9" s="10">
        <f t="shared" si="2"/>
        <v>695876.70041776064</v>
      </c>
      <c r="O9" s="10">
        <f t="shared" si="3"/>
        <v>80778658.280325174</v>
      </c>
    </row>
    <row r="10" spans="2:15" x14ac:dyDescent="0.25">
      <c r="B10" s="1" t="s">
        <v>11</v>
      </c>
      <c r="C10" s="10">
        <f>Anexos!K28*Anexos!$D$14</f>
        <v>27468007.208567273</v>
      </c>
      <c r="D10" s="10">
        <f t="shared" si="0"/>
        <v>164808043.25140363</v>
      </c>
      <c r="E10" s="10">
        <f>D10+(D10*Anexos!O9)</f>
        <v>164808043.25140363</v>
      </c>
      <c r="G10" s="1" t="s">
        <v>11</v>
      </c>
      <c r="H10" s="26">
        <f>$H$20*Anexos!J28</f>
        <v>74.244972577696515</v>
      </c>
      <c r="I10" s="10">
        <f>H10*Anexos!$D$21</f>
        <v>1432094.0791206087</v>
      </c>
      <c r="J10" s="10">
        <f>I10+(I10*Anexos!O9)</f>
        <v>1432094.0791206087</v>
      </c>
      <c r="L10" s="1" t="s">
        <v>11</v>
      </c>
      <c r="M10" s="17">
        <f t="shared" si="1"/>
        <v>164808043.25140363</v>
      </c>
      <c r="N10" s="10">
        <f t="shared" si="2"/>
        <v>1432094.0791206087</v>
      </c>
      <c r="O10" s="10">
        <f t="shared" si="3"/>
        <v>166240137.33052424</v>
      </c>
    </row>
    <row r="11" spans="2:15" x14ac:dyDescent="0.25">
      <c r="B11" s="1" t="s">
        <v>13</v>
      </c>
      <c r="C11" s="10">
        <f>Anexos!K29*Anexos!$D$14</f>
        <v>1354056.6933800769</v>
      </c>
      <c r="D11" s="10">
        <f t="shared" si="0"/>
        <v>8124340.1602804614</v>
      </c>
      <c r="E11" s="10">
        <f>D11+(D11*Anexos!O10)</f>
        <v>8124340.1602804614</v>
      </c>
      <c r="G11" s="1" t="s">
        <v>13</v>
      </c>
      <c r="H11" s="26">
        <f>$H$20*Anexos!J29</f>
        <v>3.6599634369287024</v>
      </c>
      <c r="I11" s="10">
        <f>H11*Anexos!$D$21</f>
        <v>70596.186998903271</v>
      </c>
      <c r="J11" s="10">
        <f>I11+(I11*Anexos!O10)</f>
        <v>70596.186998903271</v>
      </c>
      <c r="L11" s="1" t="s">
        <v>13</v>
      </c>
      <c r="M11" s="17">
        <f t="shared" si="1"/>
        <v>8124340.1602804614</v>
      </c>
      <c r="N11" s="10">
        <f t="shared" si="2"/>
        <v>70596.186998903271</v>
      </c>
      <c r="O11" s="10">
        <f t="shared" si="3"/>
        <v>8194936.3472793642</v>
      </c>
    </row>
    <row r="12" spans="2:15" x14ac:dyDescent="0.25">
      <c r="B12" s="1" t="s">
        <v>14</v>
      </c>
      <c r="C12" s="10">
        <f>Anexos!K30*Anexos!$D$14</f>
        <v>9478396.8536605388</v>
      </c>
      <c r="D12" s="10">
        <f t="shared" si="0"/>
        <v>56870381.121963233</v>
      </c>
      <c r="E12" s="10">
        <f>D12+(D12*Anexos!O11)</f>
        <v>56870381.121963233</v>
      </c>
      <c r="G12" s="1" t="s">
        <v>14</v>
      </c>
      <c r="H12" s="26">
        <f>$H$20*Anexos!J30</f>
        <v>25.619744058500917</v>
      </c>
      <c r="I12" s="10">
        <f>H12*Anexos!$D$21</f>
        <v>494173.30899232283</v>
      </c>
      <c r="J12" s="10">
        <f>I12+(I12*Anexos!O11)</f>
        <v>494173.30899232283</v>
      </c>
      <c r="L12" s="1" t="s">
        <v>14</v>
      </c>
      <c r="M12" s="17">
        <f t="shared" si="1"/>
        <v>56870381.121963233</v>
      </c>
      <c r="N12" s="10">
        <f t="shared" si="2"/>
        <v>494173.30899232283</v>
      </c>
      <c r="O12" s="10">
        <f t="shared" si="3"/>
        <v>57364554.430955559</v>
      </c>
    </row>
    <row r="13" spans="2:15" x14ac:dyDescent="0.25">
      <c r="B13" s="1" t="s">
        <v>12</v>
      </c>
      <c r="C13" s="10">
        <f>Anexos!K31*Anexos!$D$14</f>
        <v>193436.67048286815</v>
      </c>
      <c r="D13" s="10">
        <f t="shared" si="0"/>
        <v>1160620.022897209</v>
      </c>
      <c r="E13" s="10">
        <f>D13+(D13*Anexos!O12)</f>
        <v>1323106.8261028184</v>
      </c>
      <c r="G13" s="1" t="s">
        <v>12</v>
      </c>
      <c r="H13" s="26">
        <f>$H$20*Anexos!J31</f>
        <v>0.52285191956124311</v>
      </c>
      <c r="I13" s="10">
        <f>H13*Anexos!$D$21</f>
        <v>10085.169571271894</v>
      </c>
      <c r="J13" s="10">
        <f>I13+(I13*Anexos!O12)</f>
        <v>11497.093311249959</v>
      </c>
      <c r="L13" s="1" t="s">
        <v>12</v>
      </c>
      <c r="M13" s="17">
        <f t="shared" si="1"/>
        <v>1323106.8261028184</v>
      </c>
      <c r="N13" s="10">
        <f t="shared" si="2"/>
        <v>11497.093311249959</v>
      </c>
      <c r="O13" s="10">
        <f t="shared" si="3"/>
        <v>1334603.9194140683</v>
      </c>
    </row>
    <row r="14" spans="2:15" x14ac:dyDescent="0.25">
      <c r="B14" s="1" t="s">
        <v>15</v>
      </c>
      <c r="C14" s="10">
        <f>Anexos!K32*Anexos!$D$14</f>
        <v>11412763.55848922</v>
      </c>
      <c r="D14" s="10">
        <f t="shared" si="0"/>
        <v>68476581.350935325</v>
      </c>
      <c r="E14" s="10">
        <f>D14+(D14*Anexos!O13)</f>
        <v>78063302.740066275</v>
      </c>
      <c r="G14" s="1" t="s">
        <v>15</v>
      </c>
      <c r="H14" s="26">
        <f>$H$20*Anexos!J32</f>
        <v>30.848263254113345</v>
      </c>
      <c r="I14" s="10">
        <f>H14*Anexos!$D$21</f>
        <v>595025.00470504176</v>
      </c>
      <c r="J14" s="10">
        <f>I14+(I14*Anexos!O13)</f>
        <v>678328.50536374759</v>
      </c>
      <c r="L14" s="1" t="s">
        <v>15</v>
      </c>
      <c r="M14" s="17">
        <f t="shared" si="1"/>
        <v>78063302.740066275</v>
      </c>
      <c r="N14" s="10">
        <f t="shared" si="2"/>
        <v>678328.50536374759</v>
      </c>
      <c r="O14" s="10">
        <f t="shared" si="3"/>
        <v>78741631.245430022</v>
      </c>
    </row>
    <row r="15" spans="2:15" x14ac:dyDescent="0.25">
      <c r="B15" s="1" t="s">
        <v>16</v>
      </c>
      <c r="C15" s="10">
        <f>Anexos!K33*Anexos!$D$14</f>
        <v>4449043.4211059669</v>
      </c>
      <c r="D15" s="10">
        <f t="shared" si="0"/>
        <v>26694260.526635803</v>
      </c>
      <c r="E15" s="10">
        <f>D15+(D15*Anexos!O14)</f>
        <v>30431457.000364818</v>
      </c>
      <c r="G15" s="1" t="s">
        <v>16</v>
      </c>
      <c r="H15" s="26">
        <f>$H$20*Anexos!J33</f>
        <v>12.025594149908594</v>
      </c>
      <c r="I15" s="10">
        <f>H15*Anexos!$D$21</f>
        <v>231958.90013925359</v>
      </c>
      <c r="J15" s="10">
        <f>I15+(I15*Anexos!O14)</f>
        <v>264433.14615874912</v>
      </c>
      <c r="L15" s="1" t="s">
        <v>16</v>
      </c>
      <c r="M15" s="17">
        <f t="shared" si="1"/>
        <v>30431457.000364818</v>
      </c>
      <c r="N15" s="10">
        <f t="shared" si="2"/>
        <v>264433.14615874912</v>
      </c>
      <c r="O15" s="10">
        <f t="shared" si="3"/>
        <v>30695890.146523565</v>
      </c>
    </row>
    <row r="16" spans="2:15" x14ac:dyDescent="0.25">
      <c r="B16" s="1" t="s">
        <v>17</v>
      </c>
      <c r="C16" s="10">
        <f>Anexos!K34*Anexos!$D$14</f>
        <v>2514676.7162772855</v>
      </c>
      <c r="D16" s="10">
        <f t="shared" si="0"/>
        <v>15088060.297663713</v>
      </c>
      <c r="E16" s="10">
        <f>D16+(D16*Anexos!O15)</f>
        <v>17200388.739336632</v>
      </c>
      <c r="G16" s="1" t="s">
        <v>17</v>
      </c>
      <c r="H16" s="26">
        <f>$H$20*Anexos!J34</f>
        <v>6.7970749542961606</v>
      </c>
      <c r="I16" s="10">
        <f>H16*Anexos!$D$21</f>
        <v>131107.20442653462</v>
      </c>
      <c r="J16" s="10">
        <f>I16+(I16*Anexos!O15)</f>
        <v>149462.21304624947</v>
      </c>
      <c r="L16" s="1" t="s">
        <v>17</v>
      </c>
      <c r="M16" s="17">
        <f t="shared" si="1"/>
        <v>17200388.739336632</v>
      </c>
      <c r="N16" s="10">
        <f t="shared" si="2"/>
        <v>149462.21304624947</v>
      </c>
      <c r="O16" s="10">
        <f t="shared" si="3"/>
        <v>17349850.952382881</v>
      </c>
    </row>
    <row r="17" spans="2:15" x14ac:dyDescent="0.25">
      <c r="B17" s="2" t="s">
        <v>18</v>
      </c>
      <c r="C17" s="10">
        <f>Anexos!K35*Anexos!$D$14</f>
        <v>15088060.297663715</v>
      </c>
      <c r="D17" s="10">
        <f t="shared" si="0"/>
        <v>90528361.785982281</v>
      </c>
      <c r="E17" s="10">
        <f>D17+(D17*Anexos!O16)</f>
        <v>109539317.76103856</v>
      </c>
      <c r="G17" s="2" t="s">
        <v>18</v>
      </c>
      <c r="H17" s="26">
        <f>$H$20*Anexos!J35</f>
        <v>40.782449725776971</v>
      </c>
      <c r="I17" s="10">
        <f>H17*Anexos!$D$21</f>
        <v>786643.22655920777</v>
      </c>
      <c r="J17" s="10">
        <f>I17+(I17*Anexos!O16)</f>
        <v>951838.30413664144</v>
      </c>
      <c r="L17" s="2" t="s">
        <v>18</v>
      </c>
      <c r="M17" s="17">
        <f t="shared" si="1"/>
        <v>109539317.76103856</v>
      </c>
      <c r="N17" s="10">
        <f t="shared" si="2"/>
        <v>951838.30413664144</v>
      </c>
      <c r="O17" s="10">
        <f t="shared" si="3"/>
        <v>110491156.06517521</v>
      </c>
    </row>
    <row r="18" spans="2:15" x14ac:dyDescent="0.25">
      <c r="B18" s="2" t="s">
        <v>19</v>
      </c>
      <c r="C18" s="10">
        <f>Anexos!K36*Anexos!$D$14</f>
        <v>773746.68193147262</v>
      </c>
      <c r="D18" s="10">
        <f t="shared" si="0"/>
        <v>4642480.0915888362</v>
      </c>
      <c r="E18" s="10">
        <f>D18+(D18*Anexos!O17)</f>
        <v>8542163.368523458</v>
      </c>
      <c r="G18" s="2" t="s">
        <v>19</v>
      </c>
      <c r="H18" s="26">
        <f>$H$20*Anexos!J36</f>
        <v>2.0914076782449724</v>
      </c>
      <c r="I18" s="10">
        <f>H18*Anexos!$D$21</f>
        <v>40340.678285087575</v>
      </c>
      <c r="J18" s="10">
        <f>I18+(I18*Anexos!O17)</f>
        <v>74226.848044561135</v>
      </c>
      <c r="L18" s="2" t="s">
        <v>19</v>
      </c>
      <c r="M18" s="17">
        <f t="shared" si="1"/>
        <v>8542163.368523458</v>
      </c>
      <c r="N18" s="10">
        <f t="shared" si="2"/>
        <v>74226.848044561135</v>
      </c>
      <c r="O18" s="10">
        <f t="shared" si="3"/>
        <v>8616390.2165680192</v>
      </c>
    </row>
    <row r="19" spans="2:15" x14ac:dyDescent="0.25">
      <c r="B19" s="2" t="s">
        <v>20</v>
      </c>
      <c r="C19" s="10">
        <f>Anexos!K37*Anexos!$D$14</f>
        <v>386873.34096573631</v>
      </c>
      <c r="D19" s="10">
        <f t="shared" si="0"/>
        <v>2321240.0457944181</v>
      </c>
      <c r="E19" s="10">
        <f>D19+(D19*Anexos!O18)</f>
        <v>3621134.4714392927</v>
      </c>
      <c r="G19" s="2" t="s">
        <v>20</v>
      </c>
      <c r="H19" s="26">
        <f>$H$20*Anexos!J37</f>
        <v>1.0457038391224862</v>
      </c>
      <c r="I19" s="10">
        <f>H19*Anexos!$D$21</f>
        <v>20170.339142543788</v>
      </c>
      <c r="J19" s="10">
        <f>I19+(I19*Anexos!O18)</f>
        <v>31465.729062368307</v>
      </c>
      <c r="L19" s="2" t="s">
        <v>20</v>
      </c>
      <c r="M19" s="17">
        <f t="shared" si="1"/>
        <v>3621134.4714392927</v>
      </c>
      <c r="N19" s="10">
        <f t="shared" si="2"/>
        <v>31465.729062368307</v>
      </c>
      <c r="O19" s="10">
        <f t="shared" si="3"/>
        <v>3652600.2005016608</v>
      </c>
    </row>
    <row r="20" spans="2:15" x14ac:dyDescent="0.25">
      <c r="B20" s="27" t="s">
        <v>4</v>
      </c>
      <c r="C20" s="29">
        <f>SUM(C4:C19)</f>
        <v>105809858.75412887</v>
      </c>
      <c r="D20" s="29">
        <f>SUM(D4:D19)</f>
        <v>634859152.52477312</v>
      </c>
      <c r="E20" s="29">
        <f>SUM(E4:E19)</f>
        <v>701316255.03586733</v>
      </c>
      <c r="G20" s="27" t="s">
        <v>4</v>
      </c>
      <c r="H20" s="28">
        <v>286</v>
      </c>
      <c r="I20" s="29">
        <f>SUM(I4:I19)</f>
        <v>5516587.7554857265</v>
      </c>
      <c r="J20" s="29">
        <f>SUM(J4:J19)</f>
        <v>6094064.565136754</v>
      </c>
      <c r="L20" s="27" t="s">
        <v>4</v>
      </c>
      <c r="M20" s="29">
        <f>SUM(M4:M19)</f>
        <v>701316255.03586733</v>
      </c>
      <c r="N20" s="29">
        <f>SUM(N4:N19)</f>
        <v>6094064.565136754</v>
      </c>
      <c r="O20" s="29">
        <f t="shared" si="3"/>
        <v>707410319.60100412</v>
      </c>
    </row>
  </sheetData>
  <mergeCells count="3">
    <mergeCell ref="B2:E2"/>
    <mergeCell ref="G2:J2"/>
    <mergeCell ref="L2:O2"/>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3"/>
  <sheetViews>
    <sheetView topLeftCell="E1" workbookViewId="0">
      <selection activeCell="J18" sqref="J18"/>
    </sheetView>
  </sheetViews>
  <sheetFormatPr baseColWidth="10" defaultRowHeight="15" x14ac:dyDescent="0.25"/>
  <cols>
    <col min="2" max="2" width="18.85546875" customWidth="1"/>
    <col min="3" max="3" width="8.5703125" customWidth="1"/>
    <col min="4" max="4" width="10.42578125" customWidth="1"/>
    <col min="5" max="5" width="13.7109375" customWidth="1"/>
    <col min="6" max="6" width="8.85546875" customWidth="1"/>
    <col min="7" max="7" width="15.28515625" customWidth="1"/>
    <col min="8" max="8" width="15" customWidth="1"/>
    <col min="9" max="9" width="15.140625" customWidth="1"/>
    <col min="10" max="10" width="15.85546875" customWidth="1"/>
    <col min="11" max="11" width="15" customWidth="1"/>
    <col min="12" max="12" width="14.85546875" customWidth="1"/>
    <col min="14" max="14" width="17.140625" customWidth="1"/>
    <col min="15" max="17" width="14.5703125" bestFit="1" customWidth="1"/>
  </cols>
  <sheetData>
    <row r="2" spans="2:17" x14ac:dyDescent="0.25">
      <c r="B2" s="80" t="s">
        <v>123</v>
      </c>
      <c r="C2" s="80"/>
      <c r="D2" s="80"/>
      <c r="E2" s="80"/>
      <c r="F2" s="80"/>
      <c r="G2" s="80"/>
      <c r="H2" s="80"/>
      <c r="I2" s="80"/>
      <c r="J2" s="80"/>
      <c r="K2" s="80"/>
      <c r="L2" s="80"/>
    </row>
    <row r="3" spans="2:17" ht="15" customHeight="1" x14ac:dyDescent="0.25">
      <c r="B3" s="85" t="s">
        <v>0</v>
      </c>
      <c r="C3" s="81" t="s">
        <v>46</v>
      </c>
      <c r="D3" s="83" t="s">
        <v>141</v>
      </c>
      <c r="E3" s="87" t="s">
        <v>124</v>
      </c>
      <c r="F3" s="87" t="s">
        <v>130</v>
      </c>
      <c r="G3" s="86" t="s">
        <v>121</v>
      </c>
      <c r="H3" s="86"/>
      <c r="I3" s="86" t="s">
        <v>119</v>
      </c>
      <c r="J3" s="86"/>
      <c r="K3" s="86" t="s">
        <v>120</v>
      </c>
      <c r="L3" s="86"/>
    </row>
    <row r="4" spans="2:17" x14ac:dyDescent="0.25">
      <c r="B4" s="85"/>
      <c r="C4" s="82"/>
      <c r="D4" s="84"/>
      <c r="E4" s="87"/>
      <c r="F4" s="87"/>
      <c r="G4" s="51" t="s">
        <v>39</v>
      </c>
      <c r="H4" s="51" t="s">
        <v>3</v>
      </c>
      <c r="I4" s="51" t="s">
        <v>39</v>
      </c>
      <c r="J4" s="51" t="s">
        <v>3</v>
      </c>
      <c r="K4" s="51" t="s">
        <v>39</v>
      </c>
      <c r="L4" s="51" t="s">
        <v>3</v>
      </c>
      <c r="N4" s="51" t="s">
        <v>0</v>
      </c>
      <c r="O4" s="51" t="s">
        <v>142</v>
      </c>
      <c r="P4" s="51" t="s">
        <v>143</v>
      </c>
      <c r="Q4" s="51" t="s">
        <v>144</v>
      </c>
    </row>
    <row r="5" spans="2:17" x14ac:dyDescent="0.25">
      <c r="B5" s="1" t="s">
        <v>5</v>
      </c>
      <c r="C5" s="26">
        <f>Anexos!G22+Anexos!H22</f>
        <v>39.164533820840951</v>
      </c>
      <c r="D5" s="26">
        <f>C5*0.25</f>
        <v>9.7911334552102378</v>
      </c>
      <c r="E5" s="26">
        <f>Anexos!I22</f>
        <v>11.83729433272395</v>
      </c>
      <c r="F5" s="26">
        <f>SUM(D5:E5)</f>
        <v>21.628427787934186</v>
      </c>
      <c r="G5" s="10">
        <f>F5*Anexos!$G$60</f>
        <v>148987696.72455764</v>
      </c>
      <c r="H5" s="10">
        <f>G5+(G5*Anexos!O3)</f>
        <v>190704251.80743378</v>
      </c>
      <c r="I5" s="10">
        <f>F5*Anexos!$G$54</f>
        <v>135193940.56053668</v>
      </c>
      <c r="J5" s="10">
        <f>I5+(I5*Anexos!O3)</f>
        <v>173048243.91748697</v>
      </c>
      <c r="K5" s="10">
        <f>(G5+I5)/2</f>
        <v>142090818.64254716</v>
      </c>
      <c r="L5" s="10">
        <f>K5+(K5*Anexos!O3)</f>
        <v>181876247.86246037</v>
      </c>
      <c r="N5" s="1" t="s">
        <v>5</v>
      </c>
      <c r="O5" s="10">
        <v>200073939.00237808</v>
      </c>
      <c r="P5" s="10">
        <v>182417931.11243135</v>
      </c>
      <c r="Q5" s="10">
        <v>191245935.0574047</v>
      </c>
    </row>
    <row r="6" spans="2:17" x14ac:dyDescent="0.25">
      <c r="B6" s="1" t="s">
        <v>6</v>
      </c>
      <c r="C6" s="26">
        <f>Anexos!G23+Anexos!H23</f>
        <v>15.877513711151737</v>
      </c>
      <c r="D6" s="26">
        <f t="shared" ref="D6:D20" si="0">C6*0.25</f>
        <v>3.9693784277879343</v>
      </c>
      <c r="E6" s="26">
        <f>Anexos!I23</f>
        <v>4.7989031078610598</v>
      </c>
      <c r="F6" s="26">
        <f t="shared" ref="F6:F20" si="1">SUM(D6:E6)</f>
        <v>8.7682815356489936</v>
      </c>
      <c r="G6" s="10">
        <f>F6*Anexos!$G$60</f>
        <v>60400417.591036871</v>
      </c>
      <c r="H6" s="10">
        <f>G6+(G6*Anexos!O4)</f>
        <v>77312534.516527206</v>
      </c>
      <c r="I6" s="10">
        <f>F6*Anexos!$G$54</f>
        <v>54808354.281298652</v>
      </c>
      <c r="J6" s="10">
        <f>I6+(I6*Anexos!O4)</f>
        <v>70154693.480062276</v>
      </c>
      <c r="K6" s="10">
        <f t="shared" ref="K6:K20" si="2">(G6+I6)/2</f>
        <v>57604385.936167762</v>
      </c>
      <c r="L6" s="10">
        <f>K6+(K6*Anexos!O4)</f>
        <v>73733613.998294741</v>
      </c>
      <c r="N6" s="1" t="s">
        <v>6</v>
      </c>
      <c r="O6" s="10">
        <v>81111056.352315456</v>
      </c>
      <c r="P6" s="10">
        <v>73953215.315850541</v>
      </c>
      <c r="Q6" s="10">
        <v>77532135.834082991</v>
      </c>
    </row>
    <row r="7" spans="2:17" x14ac:dyDescent="0.25">
      <c r="B7" s="1" t="s">
        <v>7</v>
      </c>
      <c r="C7" s="26">
        <f>Anexos!G24+Anexos!H24</f>
        <v>12.702010968921389</v>
      </c>
      <c r="D7" s="26">
        <f t="shared" si="0"/>
        <v>3.1755027422303472</v>
      </c>
      <c r="E7" s="26">
        <f>Anexos!I24</f>
        <v>3.839122486288848</v>
      </c>
      <c r="F7" s="26">
        <f t="shared" si="1"/>
        <v>7.0146252285191952</v>
      </c>
      <c r="G7" s="10">
        <f>F7*Anexos!$G$60</f>
        <v>48320334.0728295</v>
      </c>
      <c r="H7" s="10">
        <f>G7+(G7*Anexos!O5)</f>
        <v>61850027.613221765</v>
      </c>
      <c r="I7" s="10">
        <f>F7*Anexos!$G$54</f>
        <v>43846683.425038919</v>
      </c>
      <c r="J7" s="10">
        <f>I7+(I7*Anexos!O5)</f>
        <v>56123754.784049816</v>
      </c>
      <c r="K7" s="10">
        <f t="shared" si="2"/>
        <v>46083508.748934209</v>
      </c>
      <c r="L7" s="10">
        <f>K7+(K7*Anexos!O5)</f>
        <v>58986891.198635787</v>
      </c>
      <c r="N7" s="1" t="s">
        <v>7</v>
      </c>
      <c r="O7" s="10">
        <v>64888845.081852362</v>
      </c>
      <c r="P7" s="10">
        <v>59162572.252680436</v>
      </c>
      <c r="Q7" s="10">
        <v>62025708.667266399</v>
      </c>
    </row>
    <row r="8" spans="2:17" x14ac:dyDescent="0.25">
      <c r="B8" s="1" t="s">
        <v>8</v>
      </c>
      <c r="C8" s="26">
        <f>Anexos!G25+Anexos!H25</f>
        <v>11.643510054844606</v>
      </c>
      <c r="D8" s="26">
        <f t="shared" si="0"/>
        <v>2.9108775137111516</v>
      </c>
      <c r="E8" s="26">
        <f>Anexos!I25</f>
        <v>3.5191956124314445</v>
      </c>
      <c r="F8" s="26">
        <f t="shared" si="1"/>
        <v>6.4300731261425961</v>
      </c>
      <c r="G8" s="10">
        <f>F8*Anexos!$G$60</f>
        <v>44293639.566760376</v>
      </c>
      <c r="H8" s="10">
        <f>G8+(G8*Anexos!O6)</f>
        <v>50494749.106106833</v>
      </c>
      <c r="I8" s="10">
        <f>F8*Anexos!$G$54</f>
        <v>40192793.139619015</v>
      </c>
      <c r="J8" s="10">
        <f>I8+(I8*Anexos!O6)</f>
        <v>45819784.179165676</v>
      </c>
      <c r="K8" s="10">
        <f t="shared" si="2"/>
        <v>42243216.353189692</v>
      </c>
      <c r="L8" s="10">
        <f>K8+(K8*Anexos!O6)</f>
        <v>48157266.642636247</v>
      </c>
      <c r="N8" s="1" t="s">
        <v>8</v>
      </c>
      <c r="O8" s="10">
        <v>52975658.680106029</v>
      </c>
      <c r="P8" s="10">
        <v>48300693.753164895</v>
      </c>
      <c r="Q8" s="10">
        <v>50638176.216635458</v>
      </c>
    </row>
    <row r="9" spans="2:17" x14ac:dyDescent="0.25">
      <c r="B9" s="1" t="s">
        <v>9</v>
      </c>
      <c r="C9" s="26">
        <f>Anexos!G26+Anexos!H26</f>
        <v>26.462522851919562</v>
      </c>
      <c r="D9" s="26">
        <f t="shared" si="0"/>
        <v>6.6156307129798906</v>
      </c>
      <c r="E9" s="26">
        <f>Anexos!I26</f>
        <v>7.9981718464351017</v>
      </c>
      <c r="F9" s="26">
        <f t="shared" si="1"/>
        <v>14.613802559414992</v>
      </c>
      <c r="G9" s="10">
        <f>F9*Anexos!$G$60</f>
        <v>100667362.65172814</v>
      </c>
      <c r="H9" s="10">
        <f>G9+(G9*Anexos!O7)</f>
        <v>114760793.42297009</v>
      </c>
      <c r="I9" s="10">
        <f>F9*Anexos!$G$54</f>
        <v>91347257.135497764</v>
      </c>
      <c r="J9" s="10">
        <f>I9+(I9*Anexos!O7)</f>
        <v>104135873.13446745</v>
      </c>
      <c r="K9" s="10">
        <f t="shared" si="2"/>
        <v>96007309.893612951</v>
      </c>
      <c r="L9" s="10">
        <f>K9+(K9*Anexos!O7)</f>
        <v>109448333.27871877</v>
      </c>
      <c r="N9" s="1" t="s">
        <v>9</v>
      </c>
      <c r="O9" s="10">
        <v>120399224.27296826</v>
      </c>
      <c r="P9" s="10">
        <v>109774303.98446566</v>
      </c>
      <c r="Q9" s="10">
        <v>115086764.12871696</v>
      </c>
    </row>
    <row r="10" spans="2:17" x14ac:dyDescent="0.25">
      <c r="B10" s="1" t="s">
        <v>10</v>
      </c>
      <c r="C10" s="26">
        <f>Anexos!G27+Anexos!H27</f>
        <v>73.036563071297991</v>
      </c>
      <c r="D10" s="26">
        <f t="shared" si="0"/>
        <v>18.259140767824498</v>
      </c>
      <c r="E10" s="26">
        <f>Anexos!I27</f>
        <v>22.074954296160879</v>
      </c>
      <c r="F10" s="26">
        <f t="shared" si="1"/>
        <v>40.334095063985373</v>
      </c>
      <c r="G10" s="10">
        <f>F10*Anexos!$G$60</f>
        <v>277841920.9187696</v>
      </c>
      <c r="H10" s="10">
        <f>G10+(G10*Anexos!O8)</f>
        <v>277841920.9187696</v>
      </c>
      <c r="I10" s="10">
        <f>F10*Anexos!$G$54</f>
        <v>252118429.69397381</v>
      </c>
      <c r="J10" s="10">
        <f>I10+(I10*Anexos!O8)</f>
        <v>252118429.69397381</v>
      </c>
      <c r="K10" s="10">
        <f t="shared" si="2"/>
        <v>264980175.30637169</v>
      </c>
      <c r="L10" s="10">
        <f>K10+(K10*Anexos!O8)</f>
        <v>264980175.30637169</v>
      </c>
      <c r="N10" s="1" t="s">
        <v>10</v>
      </c>
      <c r="O10" s="10">
        <v>291492858.76613361</v>
      </c>
      <c r="P10" s="10">
        <v>265769367.54133788</v>
      </c>
      <c r="Q10" s="10">
        <v>278631113.15373576</v>
      </c>
    </row>
    <row r="11" spans="2:17" x14ac:dyDescent="0.25">
      <c r="B11" s="1" t="s">
        <v>11</v>
      </c>
      <c r="C11" s="26">
        <f>Anexos!G28+Anexos!H28</f>
        <v>150.30712979890311</v>
      </c>
      <c r="D11" s="26">
        <f t="shared" si="0"/>
        <v>37.576782449725776</v>
      </c>
      <c r="E11" s="26">
        <f>Anexos!I28</f>
        <v>45.429616087751363</v>
      </c>
      <c r="F11" s="26">
        <f t="shared" si="1"/>
        <v>83.006398537477139</v>
      </c>
      <c r="G11" s="10">
        <f>F11*Anexos!$G$60</f>
        <v>571790619.86181569</v>
      </c>
      <c r="H11" s="10">
        <f>G11+(G11*Anexos!O9)</f>
        <v>571790619.86181569</v>
      </c>
      <c r="I11" s="10">
        <f>F11*Anexos!$G$54</f>
        <v>518852420.5296272</v>
      </c>
      <c r="J11" s="10">
        <f>I11+(I11*Anexos!O9)</f>
        <v>518852420.5296272</v>
      </c>
      <c r="K11" s="10">
        <f t="shared" si="2"/>
        <v>545321520.19572139</v>
      </c>
      <c r="L11" s="10">
        <f>K11+(K11*Anexos!O9)</f>
        <v>545321520.19572139</v>
      </c>
      <c r="N11" s="1" t="s">
        <v>11</v>
      </c>
      <c r="O11" s="10">
        <v>599883854.27233291</v>
      </c>
      <c r="P11" s="10">
        <v>546945654.94014466</v>
      </c>
      <c r="Q11" s="10">
        <v>573414754.60623884</v>
      </c>
    </row>
    <row r="12" spans="2:17" x14ac:dyDescent="0.25">
      <c r="B12" s="1" t="s">
        <v>129</v>
      </c>
      <c r="C12" s="26">
        <f>Anexos!G29+Anexos!H29</f>
        <v>7.4095063985374772</v>
      </c>
      <c r="D12" s="26">
        <f t="shared" si="0"/>
        <v>1.8523765996343693</v>
      </c>
      <c r="E12" s="26">
        <f>Anexos!I29</f>
        <v>2.2394881170018284</v>
      </c>
      <c r="F12" s="26">
        <f t="shared" si="1"/>
        <v>4.0918647166361977</v>
      </c>
      <c r="G12" s="10">
        <f>F12*Anexos!$G$60</f>
        <v>28186861.542483877</v>
      </c>
      <c r="H12" s="10">
        <f>G12+(G12*Anexos!O10)</f>
        <v>28186861.542483877</v>
      </c>
      <c r="I12" s="10">
        <f>F12*Anexos!$G$54</f>
        <v>25577231.997939374</v>
      </c>
      <c r="J12" s="10">
        <f>I12+(I12*Anexos!O10)</f>
        <v>25577231.997939374</v>
      </c>
      <c r="K12" s="10">
        <f t="shared" si="2"/>
        <v>26882046.770211626</v>
      </c>
      <c r="L12" s="10">
        <f>K12+(K12*Anexos!O10)</f>
        <v>26882046.770211626</v>
      </c>
      <c r="N12" s="1" t="s">
        <v>129</v>
      </c>
      <c r="O12" s="10">
        <v>29571739.295115009</v>
      </c>
      <c r="P12" s="10">
        <v>26962109.750570513</v>
      </c>
      <c r="Q12" s="10">
        <v>28266924.522842761</v>
      </c>
    </row>
    <row r="13" spans="2:17" x14ac:dyDescent="0.25">
      <c r="B13" s="1" t="s">
        <v>14</v>
      </c>
      <c r="C13" s="26">
        <f>Anexos!G30+Anexos!H30</f>
        <v>51.866544789762344</v>
      </c>
      <c r="D13" s="26">
        <f t="shared" si="0"/>
        <v>12.966636197440586</v>
      </c>
      <c r="E13" s="26">
        <f>Anexos!I30</f>
        <v>15.676416819012799</v>
      </c>
      <c r="F13" s="26">
        <f t="shared" si="1"/>
        <v>28.643053016453386</v>
      </c>
      <c r="G13" s="10">
        <f>F13*Anexos!$G$60</f>
        <v>197308030.79738715</v>
      </c>
      <c r="H13" s="10">
        <f>G13+(G13*Anexos!O11)</f>
        <v>197308030.79738715</v>
      </c>
      <c r="I13" s="10">
        <f>F13*Anexos!$G$54</f>
        <v>179040623.98557565</v>
      </c>
      <c r="J13" s="10">
        <f>I13+(I13*Anexos!O11)</f>
        <v>179040623.98557565</v>
      </c>
      <c r="K13" s="10">
        <f t="shared" si="2"/>
        <v>188174327.3914814</v>
      </c>
      <c r="L13" s="10">
        <f>K13+(K13*Anexos!O11)</f>
        <v>188174327.3914814</v>
      </c>
      <c r="N13" s="1" t="s">
        <v>14</v>
      </c>
      <c r="O13" s="10">
        <v>207002175.06580508</v>
      </c>
      <c r="P13" s="10">
        <v>188734768.2539936</v>
      </c>
      <c r="Q13" s="10">
        <v>197868471.65989935</v>
      </c>
    </row>
    <row r="14" spans="2:17" x14ac:dyDescent="0.25">
      <c r="B14" s="1" t="s">
        <v>12</v>
      </c>
      <c r="C14" s="26">
        <f>Anexos!G31+Anexos!H31</f>
        <v>1.0585009140767825</v>
      </c>
      <c r="D14" s="26">
        <f t="shared" si="0"/>
        <v>0.26462522851919562</v>
      </c>
      <c r="E14" s="26">
        <f>Anexos!I31</f>
        <v>0.31992687385740404</v>
      </c>
      <c r="F14" s="26">
        <f t="shared" si="1"/>
        <v>0.5845521023765996</v>
      </c>
      <c r="G14" s="10">
        <f>F14*Anexos!$G$60</f>
        <v>4026694.5060691247</v>
      </c>
      <c r="H14" s="10">
        <f>G14+(G14*Anexos!O12)</f>
        <v>4590431.7369188024</v>
      </c>
      <c r="I14" s="10">
        <f>F14*Anexos!$G$54</f>
        <v>3653890.2854199102</v>
      </c>
      <c r="J14" s="10">
        <f>I14+(I14*Anexos!O12)</f>
        <v>4165434.9253786979</v>
      </c>
      <c r="K14" s="10">
        <f t="shared" si="2"/>
        <v>3840292.3957445174</v>
      </c>
      <c r="L14" s="10">
        <f>K14+(K14*Anexos!O12)</f>
        <v>4377933.3311487501</v>
      </c>
      <c r="N14" s="1" t="s">
        <v>12</v>
      </c>
      <c r="O14" s="10">
        <v>4815968.970918729</v>
      </c>
      <c r="P14" s="10">
        <v>4390972.1593786255</v>
      </c>
      <c r="Q14" s="10">
        <v>4603470.5651486777</v>
      </c>
    </row>
    <row r="15" spans="2:17" x14ac:dyDescent="0.25">
      <c r="B15" s="1" t="s">
        <v>15</v>
      </c>
      <c r="C15" s="26">
        <f>Anexos!G32+Anexos!H32</f>
        <v>62.451553930530167</v>
      </c>
      <c r="D15" s="26">
        <f t="shared" si="0"/>
        <v>15.612888482632542</v>
      </c>
      <c r="E15" s="26">
        <f>Anexos!I32</f>
        <v>18.875685557586838</v>
      </c>
      <c r="F15" s="26">
        <f t="shared" si="1"/>
        <v>34.488574040219376</v>
      </c>
      <c r="G15" s="10">
        <f>F15*Anexos!$G$60</f>
        <v>237574975.85807836</v>
      </c>
      <c r="H15" s="10">
        <f>G15+(G15*Anexos!O13)</f>
        <v>270835472.47820932</v>
      </c>
      <c r="I15" s="10">
        <f>F15*Anexos!$G$54</f>
        <v>215579526.8397747</v>
      </c>
      <c r="J15" s="10">
        <f>I15+(I15*Anexos!O13)</f>
        <v>245760660.59734315</v>
      </c>
      <c r="K15" s="10">
        <f t="shared" si="2"/>
        <v>226577251.34892654</v>
      </c>
      <c r="L15" s="10">
        <f>K15+(K15*Anexos!O13)</f>
        <v>258298066.53777626</v>
      </c>
      <c r="N15" s="1" t="s">
        <v>15</v>
      </c>
      <c r="O15" s="10">
        <v>284142169.28420508</v>
      </c>
      <c r="P15" s="10">
        <v>259067357.40333894</v>
      </c>
      <c r="Q15" s="10">
        <v>271604763.34377199</v>
      </c>
    </row>
    <row r="16" spans="2:17" x14ac:dyDescent="0.25">
      <c r="B16" s="1" t="s">
        <v>16</v>
      </c>
      <c r="C16" s="26">
        <f>Anexos!G33+Anexos!H33</f>
        <v>24.345521023765997</v>
      </c>
      <c r="D16" s="26">
        <f t="shared" si="0"/>
        <v>6.0863802559414992</v>
      </c>
      <c r="E16" s="26">
        <f>Anexos!I33</f>
        <v>7.358318098720293</v>
      </c>
      <c r="F16" s="26">
        <f t="shared" si="1"/>
        <v>13.444698354661792</v>
      </c>
      <c r="G16" s="10">
        <f>F16*Anexos!$G$60</f>
        <v>92613973.639589876</v>
      </c>
      <c r="H16" s="10">
        <f>G16+(G16*Anexos!O14)</f>
        <v>105579929.94913246</v>
      </c>
      <c r="I16" s="10">
        <f>F16*Anexos!$G$54</f>
        <v>84039476.564657941</v>
      </c>
      <c r="J16" s="10">
        <f>I16+(I16*Anexos!O14)</f>
        <v>95805003.283710063</v>
      </c>
      <c r="K16" s="10">
        <f t="shared" si="2"/>
        <v>88326725.102123916</v>
      </c>
      <c r="L16" s="10">
        <f>K16+(K16*Anexos!O14)</f>
        <v>100692466.61642127</v>
      </c>
      <c r="N16" s="1" t="s">
        <v>16</v>
      </c>
      <c r="O16" s="10">
        <v>110767286.3311308</v>
      </c>
      <c r="P16" s="10">
        <v>100992359.66570841</v>
      </c>
      <c r="Q16" s="10">
        <v>105879822.9984196</v>
      </c>
    </row>
    <row r="17" spans="2:17" x14ac:dyDescent="0.25">
      <c r="B17" s="1" t="s">
        <v>17</v>
      </c>
      <c r="C17" s="26">
        <f>Anexos!G34+Anexos!H34</f>
        <v>13.760511882998172</v>
      </c>
      <c r="D17" s="26">
        <f t="shared" si="0"/>
        <v>3.4401279707495429</v>
      </c>
      <c r="E17" s="26">
        <f>Anexos!I34</f>
        <v>4.1590493601462519</v>
      </c>
      <c r="F17" s="26">
        <f t="shared" si="1"/>
        <v>7.5991773308957953</v>
      </c>
      <c r="G17" s="10">
        <f>F17*Anexos!$G$60</f>
        <v>52347028.578898624</v>
      </c>
      <c r="H17" s="10">
        <f>G17+(G17*Anexos!O15)</f>
        <v>59675612.579944432</v>
      </c>
      <c r="I17" s="10">
        <f>F17*Anexos!$G$54</f>
        <v>47500573.710458837</v>
      </c>
      <c r="J17" s="10">
        <f>I17+(I17*Anexos!O15)</f>
        <v>54150654.029923074</v>
      </c>
      <c r="K17" s="10">
        <f t="shared" si="2"/>
        <v>49923801.144678727</v>
      </c>
      <c r="L17" s="10">
        <f>K17+(K17*Anexos!O15)</f>
        <v>56913133.304933749</v>
      </c>
      <c r="N17" s="1" t="s">
        <v>17</v>
      </c>
      <c r="O17" s="10">
        <v>62607596.621943489</v>
      </c>
      <c r="P17" s="10">
        <v>57082638.071922138</v>
      </c>
      <c r="Q17" s="10">
        <v>59845117.346932814</v>
      </c>
    </row>
    <row r="18" spans="2:17" x14ac:dyDescent="0.25">
      <c r="B18" s="2" t="s">
        <v>18</v>
      </c>
      <c r="C18" s="26">
        <f>Anexos!G35+Anexos!H35</f>
        <v>82.563071297989026</v>
      </c>
      <c r="D18" s="26">
        <f t="shared" si="0"/>
        <v>20.640767824497257</v>
      </c>
      <c r="E18" s="26">
        <f>Anexos!I35</f>
        <v>24.954296160877515</v>
      </c>
      <c r="F18" s="26">
        <f t="shared" si="1"/>
        <v>45.595063985374772</v>
      </c>
      <c r="G18" s="10">
        <f>F18*Anexos!$G$60</f>
        <v>314082171.47339177</v>
      </c>
      <c r="H18" s="10">
        <f>G18+(G18*Anexos!O16)</f>
        <v>380039427.48280406</v>
      </c>
      <c r="I18" s="10">
        <f>F18*Anexos!$G$54</f>
        <v>285003442.26275301</v>
      </c>
      <c r="J18" s="10">
        <f>I18+(I18*Anexos!O16)</f>
        <v>344854165.13793111</v>
      </c>
      <c r="K18" s="10">
        <f t="shared" si="2"/>
        <v>299542806.86807239</v>
      </c>
      <c r="L18" s="10">
        <f>K18+(K18*Anexos!O16)</f>
        <v>362446796.31036758</v>
      </c>
      <c r="N18" s="2" t="s">
        <v>18</v>
      </c>
      <c r="O18" s="10">
        <v>398711536.3818506</v>
      </c>
      <c r="P18" s="10">
        <v>363526274.03697789</v>
      </c>
      <c r="Q18" s="10">
        <v>381118905.20941424</v>
      </c>
    </row>
    <row r="19" spans="2:17" x14ac:dyDescent="0.25">
      <c r="B19" s="2" t="s">
        <v>19</v>
      </c>
      <c r="C19" s="26">
        <f>Anexos!G36+Anexos!H36</f>
        <v>4.2340036563071299</v>
      </c>
      <c r="D19" s="26">
        <f t="shared" si="0"/>
        <v>1.0585009140767825</v>
      </c>
      <c r="E19" s="26">
        <f>Anexos!I36</f>
        <v>1.2797074954296161</v>
      </c>
      <c r="F19" s="26">
        <f t="shared" si="1"/>
        <v>2.3382084095063984</v>
      </c>
      <c r="G19" s="10">
        <f>F19*Anexos!$G$60</f>
        <v>16106778.024276499</v>
      </c>
      <c r="H19" s="10">
        <f>G19+(G19*Anexos!O17)</f>
        <v>29636471.56466876</v>
      </c>
      <c r="I19" s="10">
        <f>F19*Anexos!$G$54</f>
        <v>14615561.141679641</v>
      </c>
      <c r="J19" s="10">
        <f>I19+(I19*Anexos!O17)</f>
        <v>26892632.500690538</v>
      </c>
      <c r="K19" s="10">
        <f t="shared" si="2"/>
        <v>15361169.58297807</v>
      </c>
      <c r="L19" s="10">
        <f>K19+(K19*Anexos!O17)</f>
        <v>28264552.032679647</v>
      </c>
      <c r="N19" s="2" t="s">
        <v>19</v>
      </c>
      <c r="O19" s="10">
        <v>31092571.601720918</v>
      </c>
      <c r="P19" s="10">
        <v>28348732.537742704</v>
      </c>
      <c r="Q19" s="10">
        <v>29720652.069731809</v>
      </c>
    </row>
    <row r="20" spans="2:17" x14ac:dyDescent="0.25">
      <c r="B20" s="2" t="s">
        <v>20</v>
      </c>
      <c r="C20" s="26">
        <f>Anexos!G37+Anexos!H37</f>
        <v>2.117001828153565</v>
      </c>
      <c r="D20" s="26">
        <f t="shared" si="0"/>
        <v>0.52925045703839124</v>
      </c>
      <c r="E20" s="26">
        <f>Anexos!I37</f>
        <v>0.63985374771480807</v>
      </c>
      <c r="F20" s="26">
        <f t="shared" si="1"/>
        <v>1.1691042047531992</v>
      </c>
      <c r="G20" s="10">
        <f>F20*Anexos!$G$60</f>
        <v>8053389.0121382494</v>
      </c>
      <c r="H20" s="10">
        <f>G20+(G20*Anexos!O18)</f>
        <v>12563286.858935669</v>
      </c>
      <c r="I20" s="10">
        <f>F20*Anexos!$G$54</f>
        <v>7307780.5708398204</v>
      </c>
      <c r="J20" s="10">
        <f>I20+(I20*Anexos!O18)</f>
        <v>11400137.69051012</v>
      </c>
      <c r="K20" s="10">
        <f t="shared" si="2"/>
        <v>7680584.7914890349</v>
      </c>
      <c r="L20" s="10">
        <f>K20+(K20*Anexos!O18)</f>
        <v>11981712.274722895</v>
      </c>
      <c r="N20" s="2" t="s">
        <v>20</v>
      </c>
      <c r="O20" s="10">
        <v>13180546.657251259</v>
      </c>
      <c r="P20" s="10">
        <v>12017397.488825712</v>
      </c>
      <c r="Q20" s="10">
        <v>12598972.073038485</v>
      </c>
    </row>
    <row r="21" spans="2:17" x14ac:dyDescent="0.25">
      <c r="B21" s="27" t="s">
        <v>4</v>
      </c>
      <c r="C21" s="52">
        <f>SUM(C5:C20)</f>
        <v>578.99999999999989</v>
      </c>
      <c r="D21" s="52">
        <f t="shared" ref="D21:L21" si="3">SUM(D5:D20)</f>
        <v>144.74999999999997</v>
      </c>
      <c r="E21" s="52">
        <f t="shared" si="3"/>
        <v>174.99999999999997</v>
      </c>
      <c r="F21" s="52">
        <f t="shared" si="3"/>
        <v>319.75</v>
      </c>
      <c r="G21" s="29">
        <f t="shared" si="3"/>
        <v>2202601894.8198118</v>
      </c>
      <c r="H21" s="29">
        <f t="shared" si="3"/>
        <v>2433170422.237329</v>
      </c>
      <c r="I21" s="29">
        <f t="shared" si="3"/>
        <v>1998677986.1246908</v>
      </c>
      <c r="J21" s="29">
        <f t="shared" si="3"/>
        <v>2207899743.867835</v>
      </c>
      <c r="K21" s="29">
        <f t="shared" si="3"/>
        <v>2100639940.4722512</v>
      </c>
      <c r="L21" s="29">
        <f t="shared" si="3"/>
        <v>2320535083.0525827</v>
      </c>
      <c r="N21" s="27" t="s">
        <v>4</v>
      </c>
      <c r="O21" s="29">
        <v>2552717026.6380272</v>
      </c>
      <c r="P21" s="29">
        <v>2327446348.2685337</v>
      </c>
      <c r="Q21" s="29">
        <v>2440081687.4532809</v>
      </c>
    </row>
    <row r="22" spans="2:17" x14ac:dyDescent="0.25">
      <c r="E22" s="32"/>
      <c r="F22" s="32"/>
      <c r="G22" s="32"/>
    </row>
    <row r="23" spans="2:17" x14ac:dyDescent="0.25">
      <c r="E23" s="14"/>
      <c r="F23" s="14"/>
    </row>
  </sheetData>
  <mergeCells count="9">
    <mergeCell ref="B2:L2"/>
    <mergeCell ref="C3:C4"/>
    <mergeCell ref="D3:D4"/>
    <mergeCell ref="B3:B4"/>
    <mergeCell ref="G3:H3"/>
    <mergeCell ref="I3:J3"/>
    <mergeCell ref="K3:L3"/>
    <mergeCell ref="E3:E4"/>
    <mergeCell ref="F3: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2"/>
  <sheetViews>
    <sheetView topLeftCell="F1" workbookViewId="0">
      <selection activeCell="G5" sqref="G5"/>
    </sheetView>
  </sheetViews>
  <sheetFormatPr baseColWidth="10" defaultRowHeight="15" x14ac:dyDescent="0.25"/>
  <cols>
    <col min="1" max="1" width="11.42578125" style="15"/>
    <col min="2" max="2" width="18.42578125" style="15" customWidth="1"/>
    <col min="3" max="3" width="11.5703125" style="15" bestFit="1" customWidth="1"/>
    <col min="4" max="4" width="16.7109375" style="15" bestFit="1" customWidth="1"/>
    <col min="5" max="5" width="11.85546875" style="15" customWidth="1"/>
    <col min="6" max="6" width="16.7109375" style="15" bestFit="1" customWidth="1"/>
    <col min="7" max="7" width="11.28515625" style="60" customWidth="1"/>
    <col min="8" max="8" width="15.5703125" style="60" bestFit="1" customWidth="1"/>
    <col min="9" max="9" width="15.42578125" style="15" customWidth="1"/>
    <col min="10" max="11" width="13.42578125" style="15" customWidth="1"/>
    <col min="12" max="12" width="8.85546875" style="15" customWidth="1"/>
    <col min="13" max="13" width="13.42578125" style="15" customWidth="1"/>
    <col min="14" max="14" width="13.7109375" style="15" customWidth="1"/>
    <col min="15" max="15" width="15.42578125" style="15" customWidth="1"/>
    <col min="16" max="16" width="11.42578125" style="15"/>
    <col min="17" max="17" width="15.5703125" style="15" customWidth="1"/>
    <col min="18" max="18" width="14.5703125" style="15" bestFit="1" customWidth="1"/>
    <col min="19" max="16384" width="11.42578125" style="15"/>
  </cols>
  <sheetData>
    <row r="2" spans="2:18" x14ac:dyDescent="0.25">
      <c r="B2" s="76" t="s">
        <v>137</v>
      </c>
      <c r="C2" s="76"/>
      <c r="D2" s="76"/>
      <c r="E2" s="76"/>
      <c r="F2" s="76"/>
      <c r="G2" s="76"/>
      <c r="H2" s="76"/>
      <c r="I2" s="76"/>
      <c r="J2" s="76"/>
      <c r="K2" s="76"/>
      <c r="L2" s="76"/>
      <c r="M2" s="76"/>
      <c r="N2" s="76"/>
      <c r="O2" s="76"/>
      <c r="Q2" s="88" t="s">
        <v>172</v>
      </c>
      <c r="R2" s="88"/>
    </row>
    <row r="3" spans="2:18" x14ac:dyDescent="0.25">
      <c r="B3" s="85" t="s">
        <v>0</v>
      </c>
      <c r="C3" s="85" t="s">
        <v>46</v>
      </c>
      <c r="D3" s="86" t="s">
        <v>132</v>
      </c>
      <c r="E3" s="86"/>
      <c r="F3" s="86"/>
      <c r="G3" s="86" t="s">
        <v>162</v>
      </c>
      <c r="H3" s="86"/>
      <c r="I3" s="86"/>
      <c r="J3" s="86"/>
      <c r="K3" s="89" t="s">
        <v>185</v>
      </c>
      <c r="L3" s="90"/>
      <c r="M3" s="90"/>
      <c r="N3" s="91"/>
      <c r="O3" s="81" t="s">
        <v>4</v>
      </c>
      <c r="Q3" s="37" t="s">
        <v>21</v>
      </c>
      <c r="R3" s="37" t="s">
        <v>173</v>
      </c>
    </row>
    <row r="4" spans="2:18" x14ac:dyDescent="0.25">
      <c r="B4" s="85"/>
      <c r="C4" s="85"/>
      <c r="D4" s="37" t="s">
        <v>138</v>
      </c>
      <c r="E4" s="37" t="s">
        <v>4</v>
      </c>
      <c r="F4" s="37" t="s">
        <v>2</v>
      </c>
      <c r="G4" s="37" t="s">
        <v>25</v>
      </c>
      <c r="H4" s="37" t="s">
        <v>4</v>
      </c>
      <c r="I4" s="37" t="s">
        <v>2</v>
      </c>
      <c r="J4" s="37" t="s">
        <v>139</v>
      </c>
      <c r="K4" s="37" t="s">
        <v>25</v>
      </c>
      <c r="L4" s="37" t="s">
        <v>4</v>
      </c>
      <c r="M4" s="37" t="s">
        <v>2</v>
      </c>
      <c r="N4" s="37" t="s">
        <v>139</v>
      </c>
      <c r="O4" s="82"/>
      <c r="Q4" s="67" t="s">
        <v>174</v>
      </c>
      <c r="R4" s="68">
        <f>Anexos!G99</f>
        <v>137.43820224719101</v>
      </c>
    </row>
    <row r="5" spans="2:18" x14ac:dyDescent="0.25">
      <c r="B5" s="1" t="s">
        <v>5</v>
      </c>
      <c r="C5" s="26">
        <f>Anexos!G22+Anexos!H22</f>
        <v>39.164533820840951</v>
      </c>
      <c r="D5" s="20">
        <v>0.61899999999999999</v>
      </c>
      <c r="E5" s="26">
        <f>C5*D5</f>
        <v>24.242846435100549</v>
      </c>
      <c r="F5" s="57">
        <f>(E5*Anexos!$H$87)*12</f>
        <v>129041274.34315979</v>
      </c>
      <c r="G5" s="20">
        <v>0.61</v>
      </c>
      <c r="H5" s="26">
        <f t="shared" ref="H5:H21" si="0">C5*G5</f>
        <v>23.890365630712981</v>
      </c>
      <c r="I5" s="24">
        <f>(H5*Anexos!$H$75)*12</f>
        <v>43325178.071297996</v>
      </c>
      <c r="J5" s="24">
        <f>I5+(I5*Anexos!O3)</f>
        <v>55456227.931261435</v>
      </c>
      <c r="K5" s="25">
        <f>35%</f>
        <v>0.35</v>
      </c>
      <c r="L5" s="26">
        <f>C5*K5</f>
        <v>13.707586837294333</v>
      </c>
      <c r="M5" s="24">
        <f>L5*(Anexos!$L$54)*12</f>
        <v>13498546.138025595</v>
      </c>
      <c r="N5" s="24">
        <f>M5+(M5*Anexos!O3)</f>
        <v>17278139.056672763</v>
      </c>
      <c r="O5" s="24">
        <f>F5+J5+N5</f>
        <v>201775641.33109397</v>
      </c>
      <c r="Q5" s="67" t="s">
        <v>175</v>
      </c>
      <c r="R5" s="69">
        <f>Anexos!J92</f>
        <v>7500000</v>
      </c>
    </row>
    <row r="6" spans="2:18" x14ac:dyDescent="0.25">
      <c r="B6" s="1" t="s">
        <v>6</v>
      </c>
      <c r="C6" s="26">
        <f>Anexos!G23+Anexos!H23</f>
        <v>15.877513711151737</v>
      </c>
      <c r="D6" s="20">
        <v>0.61899999999999999</v>
      </c>
      <c r="E6" s="26">
        <f t="shared" ref="E6:E20" si="1">C6*D6</f>
        <v>9.8281809872029253</v>
      </c>
      <c r="F6" s="57">
        <f>(E6*Anexos!$H$87)*12</f>
        <v>52314030.139118828</v>
      </c>
      <c r="G6" s="20">
        <v>0.61</v>
      </c>
      <c r="H6" s="26">
        <f t="shared" si="0"/>
        <v>9.6852833638025597</v>
      </c>
      <c r="I6" s="24">
        <f>(H6*Anexos!$H$75)*12</f>
        <v>17564261.380255945</v>
      </c>
      <c r="J6" s="24">
        <f>I6+(I6*Anexos!O4)</f>
        <v>22482254.566727608</v>
      </c>
      <c r="K6" s="25">
        <f>35%</f>
        <v>0.35</v>
      </c>
      <c r="L6" s="26">
        <f t="shared" ref="L6:L21" si="2">C6*K6</f>
        <v>5.5571297989031079</v>
      </c>
      <c r="M6" s="24">
        <f>L6*(Anexos!$L$54)*12</f>
        <v>5472383.5694698356</v>
      </c>
      <c r="N6" s="24">
        <f>M6+(M6*Anexos!O4)</f>
        <v>7004650.9689213894</v>
      </c>
      <c r="O6" s="24">
        <f t="shared" ref="O6:O20" si="3">F6+J6+N6</f>
        <v>81800935.674767822</v>
      </c>
      <c r="Q6" s="67" t="s">
        <v>176</v>
      </c>
      <c r="R6" s="69">
        <f>R4*R5</f>
        <v>1030786516.8539326</v>
      </c>
    </row>
    <row r="7" spans="2:18" x14ac:dyDescent="0.25">
      <c r="B7" s="1" t="s">
        <v>7</v>
      </c>
      <c r="C7" s="26">
        <f>Anexos!G24+Anexos!H24</f>
        <v>12.702010968921389</v>
      </c>
      <c r="D7" s="20">
        <v>0.61899999999999999</v>
      </c>
      <c r="E7" s="26">
        <f t="shared" si="1"/>
        <v>7.8625447897623397</v>
      </c>
      <c r="F7" s="57">
        <f>(E7*Anexos!$H$87)*12</f>
        <v>41851224.111295059</v>
      </c>
      <c r="G7" s="20">
        <v>0.61</v>
      </c>
      <c r="H7" s="26">
        <f t="shared" si="0"/>
        <v>7.7482266910420474</v>
      </c>
      <c r="I7" s="24">
        <f>(H7*Anexos!$H$75)*12</f>
        <v>14051409.104204753</v>
      </c>
      <c r="J7" s="24">
        <f>I7+(I7*Anexos!O5)</f>
        <v>17985803.653382085</v>
      </c>
      <c r="K7" s="25">
        <f>35%</f>
        <v>0.35</v>
      </c>
      <c r="L7" s="26">
        <f t="shared" si="2"/>
        <v>4.4457038391224861</v>
      </c>
      <c r="M7" s="24">
        <f>L7*(Anexos!$L$54)*12</f>
        <v>4377906.8555758679</v>
      </c>
      <c r="N7" s="24">
        <f>M7+(M7*Anexos!O5)</f>
        <v>5603720.7751371115</v>
      </c>
      <c r="O7" s="24">
        <f t="shared" si="3"/>
        <v>65440748.539814256</v>
      </c>
    </row>
    <row r="8" spans="2:18" x14ac:dyDescent="0.25">
      <c r="B8" s="1" t="s">
        <v>8</v>
      </c>
      <c r="C8" s="26">
        <f>Anexos!G25+Anexos!H25</f>
        <v>11.643510054844606</v>
      </c>
      <c r="D8" s="20">
        <v>0.61899999999999999</v>
      </c>
      <c r="E8" s="26">
        <f t="shared" si="1"/>
        <v>7.2073327239488112</v>
      </c>
      <c r="F8" s="57">
        <f>(E8*Anexos!$H$87)*12</f>
        <v>38363622.102020472</v>
      </c>
      <c r="G8" s="20">
        <v>0.61</v>
      </c>
      <c r="H8" s="26">
        <f t="shared" si="0"/>
        <v>7.10254113345521</v>
      </c>
      <c r="I8" s="24">
        <f>(H8*Anexos!$H$75)*12</f>
        <v>12880458.345521022</v>
      </c>
      <c r="J8" s="24">
        <f>I8+(I8*Anexos!O6)</f>
        <v>14683722.513893966</v>
      </c>
      <c r="K8" s="25">
        <f>35%</f>
        <v>0.35</v>
      </c>
      <c r="L8" s="26">
        <f t="shared" si="2"/>
        <v>4.0752285191956119</v>
      </c>
      <c r="M8" s="24">
        <f>L8*(Anexos!$L$54)*12</f>
        <v>4013081.2842778787</v>
      </c>
      <c r="N8" s="24">
        <f>M8+(M8*Anexos!O6)</f>
        <v>4574912.6640767818</v>
      </c>
      <c r="O8" s="24">
        <f t="shared" si="3"/>
        <v>57622257.279991217</v>
      </c>
    </row>
    <row r="9" spans="2:18" x14ac:dyDescent="0.25">
      <c r="B9" s="1" t="s">
        <v>9</v>
      </c>
      <c r="C9" s="26">
        <f>Anexos!G26+Anexos!H26</f>
        <v>26.462522851919562</v>
      </c>
      <c r="D9" s="20">
        <v>0.61899999999999999</v>
      </c>
      <c r="E9" s="26">
        <f t="shared" si="1"/>
        <v>16.380301645338211</v>
      </c>
      <c r="F9" s="57">
        <f>(E9*Anexos!$H$87)*12</f>
        <v>87190050.231864721</v>
      </c>
      <c r="G9" s="20">
        <v>0.61</v>
      </c>
      <c r="H9" s="26">
        <f t="shared" si="0"/>
        <v>16.142138939670932</v>
      </c>
      <c r="I9" s="24">
        <f>(H9*Anexos!$H$75)*12</f>
        <v>29273768.967093237</v>
      </c>
      <c r="J9" s="24">
        <f>I9+(I9*Anexos!O7)</f>
        <v>33372096.62248629</v>
      </c>
      <c r="K9" s="25">
        <f>35%</f>
        <v>0.35</v>
      </c>
      <c r="L9" s="26">
        <f t="shared" si="2"/>
        <v>9.2618829981718456</v>
      </c>
      <c r="M9" s="24">
        <f>L9*(Anexos!$L$54)*12</f>
        <v>9120639.282449726</v>
      </c>
      <c r="N9" s="24">
        <f>M9+(M9*Anexos!O7)</f>
        <v>10397528.781992689</v>
      </c>
      <c r="O9" s="24">
        <f t="shared" si="3"/>
        <v>130959675.6363437</v>
      </c>
    </row>
    <row r="10" spans="2:18" x14ac:dyDescent="0.25">
      <c r="B10" s="1" t="s">
        <v>10</v>
      </c>
      <c r="C10" s="26">
        <f>Anexos!G27+Anexos!H27</f>
        <v>73.036563071297991</v>
      </c>
      <c r="D10" s="20">
        <v>0.61899999999999999</v>
      </c>
      <c r="E10" s="26">
        <f t="shared" si="1"/>
        <v>45.209632541133459</v>
      </c>
      <c r="F10" s="57">
        <f>(E10*Anexos!$H$87)*12</f>
        <v>240644538.63994664</v>
      </c>
      <c r="G10" s="20">
        <v>0.61</v>
      </c>
      <c r="H10" s="26">
        <f t="shared" si="0"/>
        <v>44.552303473491776</v>
      </c>
      <c r="I10" s="24">
        <f>(H10*Anexos!$H$75)*12</f>
        <v>80795602.349177331</v>
      </c>
      <c r="J10" s="24">
        <f>I10+(I10*Anexos!O8)</f>
        <v>80795602.349177331</v>
      </c>
      <c r="K10" s="25">
        <f>35%</f>
        <v>0.35</v>
      </c>
      <c r="L10" s="26">
        <f t="shared" si="2"/>
        <v>25.562797074954297</v>
      </c>
      <c r="M10" s="24">
        <f>L10*(Anexos!$L$54)*12</f>
        <v>25172964.419561245</v>
      </c>
      <c r="N10" s="24">
        <f>M10+(M10*Anexos!O8)</f>
        <v>25172964.419561245</v>
      </c>
      <c r="O10" s="24">
        <f t="shared" si="3"/>
        <v>346613105.40868521</v>
      </c>
    </row>
    <row r="11" spans="2:18" x14ac:dyDescent="0.25">
      <c r="B11" s="1" t="s">
        <v>11</v>
      </c>
      <c r="C11" s="26">
        <f>Anexos!G28+Anexos!H28</f>
        <v>150.30712979890311</v>
      </c>
      <c r="D11" s="20">
        <v>0.61899999999999999</v>
      </c>
      <c r="E11" s="26">
        <f t="shared" si="1"/>
        <v>93.040113345521021</v>
      </c>
      <c r="F11" s="57">
        <f>(E11*Anexos!$H$87)*12</f>
        <v>495239485.31699157</v>
      </c>
      <c r="G11" s="20">
        <v>0.61</v>
      </c>
      <c r="H11" s="26">
        <f t="shared" si="0"/>
        <v>91.687349177330887</v>
      </c>
      <c r="I11" s="24">
        <f>(H11*Anexos!$H$75)*12</f>
        <v>166275007.73308957</v>
      </c>
      <c r="J11" s="24">
        <f>I11+(I11*Anexos!O9)</f>
        <v>166275007.73308957</v>
      </c>
      <c r="K11" s="25">
        <f>35%</f>
        <v>0.35</v>
      </c>
      <c r="L11" s="26">
        <f t="shared" si="2"/>
        <v>52.607495429616087</v>
      </c>
      <c r="M11" s="24">
        <f>L11*(Anexos!$L$54)*12</f>
        <v>51805231.124314442</v>
      </c>
      <c r="N11" s="24">
        <f>M11+(M11*Anexos!O9)</f>
        <v>51805231.124314442</v>
      </c>
      <c r="O11" s="24">
        <f t="shared" si="3"/>
        <v>713319724.17439556</v>
      </c>
    </row>
    <row r="12" spans="2:18" x14ac:dyDescent="0.25">
      <c r="B12" s="1" t="s">
        <v>13</v>
      </c>
      <c r="C12" s="26">
        <f>Anexos!G29+Anexos!H29</f>
        <v>7.4095063985374772</v>
      </c>
      <c r="D12" s="20">
        <v>0.61899999999999999</v>
      </c>
      <c r="E12" s="26">
        <f t="shared" si="1"/>
        <v>4.586484460694698</v>
      </c>
      <c r="F12" s="57">
        <f>(E12*Anexos!$H$87)*12</f>
        <v>24413214.064922117</v>
      </c>
      <c r="G12" s="20">
        <v>0.61</v>
      </c>
      <c r="H12" s="26">
        <f t="shared" si="0"/>
        <v>4.5197989031078611</v>
      </c>
      <c r="I12" s="24">
        <f>(H12*Anexos!$H$75)*12</f>
        <v>8196655.3107861057</v>
      </c>
      <c r="J12" s="24">
        <f>I12+(I12*Anexos!O10)</f>
        <v>8196655.3107861057</v>
      </c>
      <c r="K12" s="25">
        <f>35%</f>
        <v>0.35</v>
      </c>
      <c r="L12" s="26">
        <f t="shared" si="2"/>
        <v>2.5933272394881168</v>
      </c>
      <c r="M12" s="24">
        <f>L12*(Anexos!$L$54)*12</f>
        <v>2553778.9990859227</v>
      </c>
      <c r="N12" s="24">
        <f>M12+(M12*Anexos!O10)</f>
        <v>2553778.9990859227</v>
      </c>
      <c r="O12" s="24">
        <f t="shared" si="3"/>
        <v>35163648.374794148</v>
      </c>
    </row>
    <row r="13" spans="2:18" x14ac:dyDescent="0.25">
      <c r="B13" s="1" t="s">
        <v>14</v>
      </c>
      <c r="C13" s="26">
        <f>Anexos!G30+Anexos!H30</f>
        <v>51.866544789762344</v>
      </c>
      <c r="D13" s="20">
        <v>0.61899999999999999</v>
      </c>
      <c r="E13" s="26">
        <f t="shared" si="1"/>
        <v>32.105391224862892</v>
      </c>
      <c r="F13" s="57">
        <f>(E13*Anexos!$H$87)*12</f>
        <v>170892498.45445484</v>
      </c>
      <c r="G13" s="20">
        <v>0.61</v>
      </c>
      <c r="H13" s="26">
        <f t="shared" si="0"/>
        <v>31.638592321755031</v>
      </c>
      <c r="I13" s="24">
        <f>(H13*Anexos!$H$75)*12</f>
        <v>57376587.175502747</v>
      </c>
      <c r="J13" s="24">
        <f>I13+(I13*Anexos!O11)</f>
        <v>57376587.175502747</v>
      </c>
      <c r="K13" s="25">
        <f>35%</f>
        <v>0.35</v>
      </c>
      <c r="L13" s="26">
        <f t="shared" si="2"/>
        <v>18.15329067641682</v>
      </c>
      <c r="M13" s="24">
        <f>L13*(Anexos!$L$54)*12</f>
        <v>17876452.993601464</v>
      </c>
      <c r="N13" s="24">
        <f>M13+(M13*Anexos!O11)</f>
        <v>17876452.993601464</v>
      </c>
      <c r="O13" s="24">
        <f t="shared" si="3"/>
        <v>246145538.62355906</v>
      </c>
    </row>
    <row r="14" spans="2:18" x14ac:dyDescent="0.25">
      <c r="B14" s="1" t="s">
        <v>12</v>
      </c>
      <c r="C14" s="26">
        <f>Anexos!G31+Anexos!H31</f>
        <v>1.0585009140767825</v>
      </c>
      <c r="D14" s="20">
        <v>0.61899999999999999</v>
      </c>
      <c r="E14" s="26">
        <f t="shared" si="1"/>
        <v>0.65521206581352831</v>
      </c>
      <c r="F14" s="57">
        <f>(E14*Anexos!$H$87)*12</f>
        <v>3487602.0092745884</v>
      </c>
      <c r="G14" s="20">
        <v>0.61</v>
      </c>
      <c r="H14" s="26">
        <f t="shared" si="0"/>
        <v>0.64568555758683732</v>
      </c>
      <c r="I14" s="24">
        <f>(H14*Anexos!$H$75)*12</f>
        <v>1170950.7586837295</v>
      </c>
      <c r="J14" s="24">
        <f>I14+(I14*Anexos!O12)</f>
        <v>1334883.8648994516</v>
      </c>
      <c r="K14" s="25">
        <f>35%</f>
        <v>0.35</v>
      </c>
      <c r="L14" s="26">
        <f t="shared" si="2"/>
        <v>0.37047531992687383</v>
      </c>
      <c r="M14" s="24">
        <f>L14*(Anexos!$L$54)*12</f>
        <v>364825.57129798899</v>
      </c>
      <c r="N14" s="24">
        <f>M14+(M14*Anexos!O12)</f>
        <v>415901.15127970744</v>
      </c>
      <c r="O14" s="24">
        <f t="shared" si="3"/>
        <v>5238387.0254537473</v>
      </c>
    </row>
    <row r="15" spans="2:18" x14ac:dyDescent="0.25">
      <c r="B15" s="1" t="s">
        <v>15</v>
      </c>
      <c r="C15" s="26">
        <f>Anexos!G32+Anexos!H32</f>
        <v>62.451553930530167</v>
      </c>
      <c r="D15" s="20">
        <v>0.61899999999999999</v>
      </c>
      <c r="E15" s="26">
        <f t="shared" si="1"/>
        <v>38.657511882998172</v>
      </c>
      <c r="F15" s="57">
        <f>(E15*Anexos!$H$87)*12</f>
        <v>205768518.54720074</v>
      </c>
      <c r="G15" s="20">
        <v>0.61</v>
      </c>
      <c r="H15" s="26">
        <f t="shared" si="0"/>
        <v>38.095447897623401</v>
      </c>
      <c r="I15" s="24">
        <f>(H15*Anexos!$H$75)*12</f>
        <v>69086094.762340039</v>
      </c>
      <c r="J15" s="24">
        <f>I15+(I15*Anexos!O13)</f>
        <v>78758148.02906765</v>
      </c>
      <c r="K15" s="25">
        <f>35%</f>
        <v>0.35</v>
      </c>
      <c r="L15" s="26">
        <f t="shared" si="2"/>
        <v>21.858043875685556</v>
      </c>
      <c r="M15" s="24">
        <f>L15*(Anexos!$L$54)*12</f>
        <v>21524708.70658135</v>
      </c>
      <c r="N15" s="24">
        <f>M15+(M15*Anexos!O13)</f>
        <v>24538167.92550274</v>
      </c>
      <c r="O15" s="24">
        <f t="shared" si="3"/>
        <v>309064834.50177109</v>
      </c>
    </row>
    <row r="16" spans="2:18" x14ac:dyDescent="0.25">
      <c r="B16" s="1" t="s">
        <v>16</v>
      </c>
      <c r="C16" s="26">
        <f>Anexos!G33+Anexos!H33</f>
        <v>24.345521023765997</v>
      </c>
      <c r="D16" s="20">
        <v>0.61899999999999999</v>
      </c>
      <c r="E16" s="26">
        <f t="shared" si="1"/>
        <v>15.069877513711152</v>
      </c>
      <c r="F16" s="57">
        <f>(E16*Anexos!$H$87)*12</f>
        <v>80214846.213315532</v>
      </c>
      <c r="G16" s="20">
        <v>0.61</v>
      </c>
      <c r="H16" s="26">
        <f t="shared" si="0"/>
        <v>14.850767824497257</v>
      </c>
      <c r="I16" s="24">
        <f>(H16*Anexos!$H$75)*12</f>
        <v>26931867.449725777</v>
      </c>
      <c r="J16" s="24">
        <f>I16+(I16*Anexos!O14)</f>
        <v>30702328.892687388</v>
      </c>
      <c r="K16" s="25">
        <f>35%</f>
        <v>0.35</v>
      </c>
      <c r="L16" s="26">
        <f t="shared" si="2"/>
        <v>8.5209323583180989</v>
      </c>
      <c r="M16" s="24">
        <f>L16*(Anexos!$L$54)*12</f>
        <v>8390988.1398537476</v>
      </c>
      <c r="N16" s="24">
        <f>M16+(M16*Anexos!O14)</f>
        <v>9565726.479433272</v>
      </c>
      <c r="O16" s="24">
        <f t="shared" si="3"/>
        <v>120482901.5854362</v>
      </c>
    </row>
    <row r="17" spans="2:15" x14ac:dyDescent="0.25">
      <c r="B17" s="1" t="s">
        <v>17</v>
      </c>
      <c r="C17" s="26">
        <f>Anexos!G34+Anexos!H34</f>
        <v>13.760511882998172</v>
      </c>
      <c r="D17" s="20">
        <v>0.61899999999999999</v>
      </c>
      <c r="E17" s="26">
        <f t="shared" si="1"/>
        <v>8.5177568555758683</v>
      </c>
      <c r="F17" s="57">
        <f>(E17*Anexos!$H$87)*12</f>
        <v>45338826.120569646</v>
      </c>
      <c r="G17" s="20">
        <v>0.61</v>
      </c>
      <c r="H17" s="26">
        <f t="shared" si="0"/>
        <v>8.3939122486288849</v>
      </c>
      <c r="I17" s="24">
        <f>(H17*Anexos!$H$75)*12</f>
        <v>15222359.862888481</v>
      </c>
      <c r="J17" s="24">
        <f>I17+(I17*Anexos!O15)</f>
        <v>17353490.243692867</v>
      </c>
      <c r="K17" s="25">
        <f>35%</f>
        <v>0.35</v>
      </c>
      <c r="L17" s="26">
        <f t="shared" si="2"/>
        <v>4.8161791590493594</v>
      </c>
      <c r="M17" s="24">
        <f>L17*(Anexos!$L$54)*12</f>
        <v>4742732.4268738572</v>
      </c>
      <c r="N17" s="24">
        <f>M17+(M17*Anexos!O15)</f>
        <v>5406714.9666361976</v>
      </c>
      <c r="O17" s="24">
        <f t="shared" si="3"/>
        <v>68099031.330898717</v>
      </c>
    </row>
    <row r="18" spans="2:15" x14ac:dyDescent="0.25">
      <c r="B18" s="2" t="s">
        <v>18</v>
      </c>
      <c r="C18" s="26">
        <f>Anexos!G35+Anexos!H35</f>
        <v>82.563071297989026</v>
      </c>
      <c r="D18" s="20">
        <v>0.61899999999999999</v>
      </c>
      <c r="E18" s="26">
        <f t="shared" si="1"/>
        <v>51.10654113345521</v>
      </c>
      <c r="F18" s="57">
        <f>(E18*Anexos!$H$87)*12</f>
        <v>272032956.72341794</v>
      </c>
      <c r="G18" s="20">
        <v>0.61</v>
      </c>
      <c r="H18" s="26">
        <f t="shared" si="0"/>
        <v>50.363473491773306</v>
      </c>
      <c r="I18" s="24">
        <f>(H18*Anexos!$H$75)*12</f>
        <v>91334159.177330881</v>
      </c>
      <c r="J18" s="24">
        <f>I18+(I18*Anexos!O16)</f>
        <v>110514332.60457036</v>
      </c>
      <c r="K18" s="25">
        <f>35%</f>
        <v>0.35</v>
      </c>
      <c r="L18" s="26">
        <f t="shared" si="2"/>
        <v>28.897074954296158</v>
      </c>
      <c r="M18" s="24">
        <f>L18*(Anexos!$L$54)*12</f>
        <v>28456394.561243143</v>
      </c>
      <c r="N18" s="24">
        <f>M18+(M18*Anexos!O16)</f>
        <v>34432237.419104204</v>
      </c>
      <c r="O18" s="24">
        <f t="shared" si="3"/>
        <v>416979526.74709249</v>
      </c>
    </row>
    <row r="19" spans="2:15" x14ac:dyDescent="0.25">
      <c r="B19" s="2" t="s">
        <v>19</v>
      </c>
      <c r="C19" s="26">
        <f>Anexos!G36+Anexos!H36</f>
        <v>4.2340036563071299</v>
      </c>
      <c r="D19" s="20">
        <v>0.61899999999999999</v>
      </c>
      <c r="E19" s="26">
        <f t="shared" si="1"/>
        <v>2.6208482632541132</v>
      </c>
      <c r="F19" s="57">
        <f>(E19*Anexos!$H$87)*12</f>
        <v>13950408.037098354</v>
      </c>
      <c r="G19" s="20">
        <v>0.61</v>
      </c>
      <c r="H19" s="26">
        <f t="shared" si="0"/>
        <v>2.5827422303473493</v>
      </c>
      <c r="I19" s="24">
        <f>(H19*Anexos!$H$75)*12</f>
        <v>4683803.0347349178</v>
      </c>
      <c r="J19" s="24">
        <f>I19+(I19*Anexos!O17)</f>
        <v>8618197.5839122497</v>
      </c>
      <c r="K19" s="25">
        <f>35%</f>
        <v>0.35</v>
      </c>
      <c r="L19" s="26">
        <f t="shared" si="2"/>
        <v>1.4819012797074953</v>
      </c>
      <c r="M19" s="24">
        <f>L19*(Anexos!$L$54)*12</f>
        <v>1459302.285191956</v>
      </c>
      <c r="N19" s="24">
        <f>M19+(M19*Anexos!O17)</f>
        <v>2685116.2047531987</v>
      </c>
      <c r="O19" s="24">
        <f t="shared" si="3"/>
        <v>25253721.825763799</v>
      </c>
    </row>
    <row r="20" spans="2:15" x14ac:dyDescent="0.25">
      <c r="B20" s="2" t="s">
        <v>20</v>
      </c>
      <c r="C20" s="26">
        <f>Anexos!G37+Anexos!H37</f>
        <v>2.117001828153565</v>
      </c>
      <c r="D20" s="20">
        <v>0.61899999999999999</v>
      </c>
      <c r="E20" s="26">
        <f t="shared" si="1"/>
        <v>1.3104241316270566</v>
      </c>
      <c r="F20" s="57">
        <f>(E20*Anexos!$H$87)*12</f>
        <v>6975204.0185491769</v>
      </c>
      <c r="G20" s="20">
        <v>0.61</v>
      </c>
      <c r="H20" s="26">
        <f t="shared" si="0"/>
        <v>1.2913711151736746</v>
      </c>
      <c r="I20" s="24">
        <f>(H20*Anexos!$H$75)*12</f>
        <v>2341901.5173674589</v>
      </c>
      <c r="J20" s="24">
        <f>I20+(I20*Anexos!O18)</f>
        <v>3653366.3670932362</v>
      </c>
      <c r="K20" s="25">
        <f>35%</f>
        <v>0.35</v>
      </c>
      <c r="L20" s="26">
        <f t="shared" si="2"/>
        <v>0.74095063985374765</v>
      </c>
      <c r="M20" s="24">
        <f>L20*(Anexos!$L$54)*12</f>
        <v>729651.14259597799</v>
      </c>
      <c r="N20" s="24">
        <f>M20+(M20*Anexos!O18)</f>
        <v>1138255.7824497258</v>
      </c>
      <c r="O20" s="24">
        <f t="shared" si="3"/>
        <v>11766826.168092139</v>
      </c>
    </row>
    <row r="21" spans="2:15" x14ac:dyDescent="0.25">
      <c r="B21" s="27" t="s">
        <v>4</v>
      </c>
      <c r="C21" s="28">
        <f>SUM(C5:C20)</f>
        <v>578.99999999999989</v>
      </c>
      <c r="D21" s="61">
        <v>0.61899999999999999</v>
      </c>
      <c r="E21" s="52">
        <f>SUM(E5:E20)</f>
        <v>358.40100000000001</v>
      </c>
      <c r="F21" s="58">
        <f>SUM(F5:F20)</f>
        <v>1907718299.0732</v>
      </c>
      <c r="G21" s="62">
        <v>0.61</v>
      </c>
      <c r="H21" s="52">
        <f t="shared" si="0"/>
        <v>353.18999999999994</v>
      </c>
      <c r="I21" s="58">
        <f>SUM(I5:I20)</f>
        <v>640510065</v>
      </c>
      <c r="J21" s="58">
        <f>SUM(J5:J20)</f>
        <v>707558705.44223034</v>
      </c>
      <c r="K21" s="62">
        <f>35%</f>
        <v>0.35</v>
      </c>
      <c r="L21" s="52">
        <f t="shared" si="2"/>
        <v>202.64999999999995</v>
      </c>
      <c r="M21" s="58">
        <f>L21*(Anexos!$L$54)*12</f>
        <v>199559587.49999994</v>
      </c>
      <c r="N21" s="58">
        <f>SUM(N5:N20)</f>
        <v>220449499.71252289</v>
      </c>
      <c r="O21" s="58">
        <f>SUM(O5:O20)</f>
        <v>2835726504.2279534</v>
      </c>
    </row>
    <row r="23" spans="2:15" x14ac:dyDescent="0.25">
      <c r="I23"/>
    </row>
    <row r="24" spans="2:15" x14ac:dyDescent="0.25">
      <c r="B24" s="85" t="s">
        <v>0</v>
      </c>
      <c r="C24" s="86" t="s">
        <v>132</v>
      </c>
      <c r="D24" s="86"/>
      <c r="E24" s="86" t="s">
        <v>162</v>
      </c>
      <c r="F24" s="86"/>
      <c r="G24" s="86" t="s">
        <v>185</v>
      </c>
      <c r="H24" s="86"/>
      <c r="I24" s="85" t="s">
        <v>4</v>
      </c>
    </row>
    <row r="25" spans="2:15" x14ac:dyDescent="0.25">
      <c r="B25" s="85"/>
      <c r="C25" s="51" t="s">
        <v>189</v>
      </c>
      <c r="D25" s="51" t="s">
        <v>2</v>
      </c>
      <c r="E25" s="51" t="s">
        <v>189</v>
      </c>
      <c r="F25" s="51" t="s">
        <v>2</v>
      </c>
      <c r="G25" s="51" t="s">
        <v>189</v>
      </c>
      <c r="H25" s="51" t="s">
        <v>2</v>
      </c>
      <c r="I25" s="85"/>
    </row>
    <row r="26" spans="2:15" x14ac:dyDescent="0.25">
      <c r="B26" s="1" t="s">
        <v>5</v>
      </c>
      <c r="C26" s="26">
        <v>24.242846435100549</v>
      </c>
      <c r="D26" s="17">
        <v>129041274.34315979</v>
      </c>
      <c r="E26" s="26">
        <v>23.890365630712981</v>
      </c>
      <c r="F26" s="17">
        <v>55456227.931261435</v>
      </c>
      <c r="G26" s="26">
        <v>13.707586837294333</v>
      </c>
      <c r="H26" s="17">
        <v>17278139.056672763</v>
      </c>
      <c r="I26" s="17">
        <v>201775641.33109397</v>
      </c>
    </row>
    <row r="27" spans="2:15" x14ac:dyDescent="0.25">
      <c r="B27" s="1" t="s">
        <v>6</v>
      </c>
      <c r="C27" s="26">
        <v>9.8281809872029253</v>
      </c>
      <c r="D27" s="17">
        <v>52314030.139118828</v>
      </c>
      <c r="E27" s="26">
        <v>9.6852833638025597</v>
      </c>
      <c r="F27" s="17">
        <v>22482254.566727608</v>
      </c>
      <c r="G27" s="26">
        <v>5.5571297989031079</v>
      </c>
      <c r="H27" s="17">
        <v>7004650.9689213894</v>
      </c>
      <c r="I27" s="17">
        <v>81800935.674767822</v>
      </c>
    </row>
    <row r="28" spans="2:15" x14ac:dyDescent="0.25">
      <c r="B28" s="1" t="s">
        <v>7</v>
      </c>
      <c r="C28" s="26">
        <v>7.8625447897623397</v>
      </c>
      <c r="D28" s="17">
        <v>41851224.111295059</v>
      </c>
      <c r="E28" s="26">
        <v>7.7482266910420474</v>
      </c>
      <c r="F28" s="17">
        <v>17985803.653382085</v>
      </c>
      <c r="G28" s="26">
        <v>4.4457038391224861</v>
      </c>
      <c r="H28" s="17">
        <v>5603720.7751371115</v>
      </c>
      <c r="I28" s="17">
        <v>65440748.539814256</v>
      </c>
    </row>
    <row r="29" spans="2:15" x14ac:dyDescent="0.25">
      <c r="B29" s="1" t="s">
        <v>8</v>
      </c>
      <c r="C29" s="26">
        <v>7.2073327239488112</v>
      </c>
      <c r="D29" s="17">
        <v>38363622.102020472</v>
      </c>
      <c r="E29" s="26">
        <v>7.10254113345521</v>
      </c>
      <c r="F29" s="17">
        <v>14683722.513893966</v>
      </c>
      <c r="G29" s="26">
        <v>4.0752285191956119</v>
      </c>
      <c r="H29" s="17">
        <v>4574912.6640767818</v>
      </c>
      <c r="I29" s="17">
        <v>57622257.279991217</v>
      </c>
    </row>
    <row r="30" spans="2:15" x14ac:dyDescent="0.25">
      <c r="B30" s="1" t="s">
        <v>9</v>
      </c>
      <c r="C30" s="26">
        <v>16.380301645338211</v>
      </c>
      <c r="D30" s="17">
        <v>87190050.231864721</v>
      </c>
      <c r="E30" s="26">
        <v>16.142138939670932</v>
      </c>
      <c r="F30" s="17">
        <v>33372096.62248629</v>
      </c>
      <c r="G30" s="26">
        <v>9.2618829981718456</v>
      </c>
      <c r="H30" s="17">
        <v>10397528.781992689</v>
      </c>
      <c r="I30" s="17">
        <v>130959675.6363437</v>
      </c>
    </row>
    <row r="31" spans="2:15" x14ac:dyDescent="0.25">
      <c r="B31" s="1" t="s">
        <v>10</v>
      </c>
      <c r="C31" s="26">
        <v>45.209632541133459</v>
      </c>
      <c r="D31" s="17">
        <v>240644538.63994664</v>
      </c>
      <c r="E31" s="26">
        <v>44.552303473491776</v>
      </c>
      <c r="F31" s="17">
        <v>80795602.349177331</v>
      </c>
      <c r="G31" s="26">
        <v>25.562797074954297</v>
      </c>
      <c r="H31" s="17">
        <v>25172964.419561245</v>
      </c>
      <c r="I31" s="17">
        <v>346613105.40868521</v>
      </c>
    </row>
    <row r="32" spans="2:15" x14ac:dyDescent="0.25">
      <c r="B32" s="1" t="s">
        <v>11</v>
      </c>
      <c r="C32" s="26">
        <v>93.040113345521021</v>
      </c>
      <c r="D32" s="17">
        <v>495239485.31699157</v>
      </c>
      <c r="E32" s="26">
        <v>91.687349177330887</v>
      </c>
      <c r="F32" s="17">
        <v>166275007.73308957</v>
      </c>
      <c r="G32" s="26">
        <v>52.607495429616087</v>
      </c>
      <c r="H32" s="17">
        <v>51805231.124314442</v>
      </c>
      <c r="I32" s="17">
        <v>713319724.17439556</v>
      </c>
    </row>
    <row r="33" spans="2:9" x14ac:dyDescent="0.25">
      <c r="B33" s="1" t="s">
        <v>13</v>
      </c>
      <c r="C33" s="26">
        <v>4.586484460694698</v>
      </c>
      <c r="D33" s="17">
        <v>24413214.064922117</v>
      </c>
      <c r="E33" s="26">
        <v>4.5197989031078611</v>
      </c>
      <c r="F33" s="17">
        <v>8196655.3107861057</v>
      </c>
      <c r="G33" s="26">
        <v>2.5933272394881168</v>
      </c>
      <c r="H33" s="17">
        <v>2553778.9990859227</v>
      </c>
      <c r="I33" s="17">
        <v>35163648.374794148</v>
      </c>
    </row>
    <row r="34" spans="2:9" x14ac:dyDescent="0.25">
      <c r="B34" s="1" t="s">
        <v>14</v>
      </c>
      <c r="C34" s="26">
        <v>32.105391224862892</v>
      </c>
      <c r="D34" s="17">
        <v>170892498.45445484</v>
      </c>
      <c r="E34" s="26">
        <v>31.638592321755031</v>
      </c>
      <c r="F34" s="17">
        <v>57376587.175502747</v>
      </c>
      <c r="G34" s="26">
        <v>18.15329067641682</v>
      </c>
      <c r="H34" s="17">
        <v>17876452.993601464</v>
      </c>
      <c r="I34" s="17">
        <v>246145538.62355906</v>
      </c>
    </row>
    <row r="35" spans="2:9" x14ac:dyDescent="0.25">
      <c r="B35" s="1" t="s">
        <v>12</v>
      </c>
      <c r="C35" s="26">
        <v>0.65521206581352831</v>
      </c>
      <c r="D35" s="17">
        <v>3487602.0092745884</v>
      </c>
      <c r="E35" s="26">
        <v>0.64568555758683732</v>
      </c>
      <c r="F35" s="17">
        <v>1334883.8648994516</v>
      </c>
      <c r="G35" s="26">
        <v>0.37047531992687383</v>
      </c>
      <c r="H35" s="17">
        <v>415901.15127970744</v>
      </c>
      <c r="I35" s="17">
        <v>5238387.0254537473</v>
      </c>
    </row>
    <row r="36" spans="2:9" x14ac:dyDescent="0.25">
      <c r="B36" s="1" t="s">
        <v>15</v>
      </c>
      <c r="C36" s="26">
        <v>38.657511882998172</v>
      </c>
      <c r="D36" s="17">
        <v>205768518.54720074</v>
      </c>
      <c r="E36" s="26">
        <v>38.095447897623401</v>
      </c>
      <c r="F36" s="17">
        <v>78758148.02906765</v>
      </c>
      <c r="G36" s="26">
        <v>21.858043875685556</v>
      </c>
      <c r="H36" s="17">
        <v>24538167.92550274</v>
      </c>
      <c r="I36" s="17">
        <v>309064834.50177109</v>
      </c>
    </row>
    <row r="37" spans="2:9" x14ac:dyDescent="0.25">
      <c r="B37" s="1" t="s">
        <v>16</v>
      </c>
      <c r="C37" s="26">
        <v>15.069877513711152</v>
      </c>
      <c r="D37" s="17">
        <v>80214846.213315532</v>
      </c>
      <c r="E37" s="26">
        <v>14.850767824497257</v>
      </c>
      <c r="F37" s="17">
        <v>30702328.892687388</v>
      </c>
      <c r="G37" s="26">
        <v>8.5209323583180989</v>
      </c>
      <c r="H37" s="17">
        <v>9565726.479433272</v>
      </c>
      <c r="I37" s="17">
        <v>120482901.5854362</v>
      </c>
    </row>
    <row r="38" spans="2:9" x14ac:dyDescent="0.25">
      <c r="B38" s="1" t="s">
        <v>17</v>
      </c>
      <c r="C38" s="26">
        <v>8.5177568555758683</v>
      </c>
      <c r="D38" s="17">
        <v>45338826.120569646</v>
      </c>
      <c r="E38" s="26">
        <v>8.3939122486288849</v>
      </c>
      <c r="F38" s="17">
        <v>17353490.243692867</v>
      </c>
      <c r="G38" s="26">
        <v>4.8161791590493594</v>
      </c>
      <c r="H38" s="17">
        <v>5406714.9666361976</v>
      </c>
      <c r="I38" s="17">
        <v>68099031.330898717</v>
      </c>
    </row>
    <row r="39" spans="2:9" x14ac:dyDescent="0.25">
      <c r="B39" s="2" t="s">
        <v>18</v>
      </c>
      <c r="C39" s="26">
        <v>51.10654113345521</v>
      </c>
      <c r="D39" s="17">
        <v>272032956.72341794</v>
      </c>
      <c r="E39" s="26">
        <v>50.363473491773306</v>
      </c>
      <c r="F39" s="17">
        <v>110514332.60457036</v>
      </c>
      <c r="G39" s="26">
        <v>28.897074954296158</v>
      </c>
      <c r="H39" s="17">
        <v>34432237.419104204</v>
      </c>
      <c r="I39" s="17">
        <v>416979526.74709249</v>
      </c>
    </row>
    <row r="40" spans="2:9" x14ac:dyDescent="0.25">
      <c r="B40" s="2" t="s">
        <v>19</v>
      </c>
      <c r="C40" s="26">
        <v>2.6208482632541132</v>
      </c>
      <c r="D40" s="17">
        <v>13950408.037098354</v>
      </c>
      <c r="E40" s="26">
        <v>2.5827422303473493</v>
      </c>
      <c r="F40" s="17">
        <v>8618197.5839122497</v>
      </c>
      <c r="G40" s="26">
        <v>1.4819012797074953</v>
      </c>
      <c r="H40" s="17">
        <v>2685116.2047531987</v>
      </c>
      <c r="I40" s="17">
        <v>25253721.825763799</v>
      </c>
    </row>
    <row r="41" spans="2:9" x14ac:dyDescent="0.25">
      <c r="B41" s="2" t="s">
        <v>20</v>
      </c>
      <c r="C41" s="26">
        <v>1.3104241316270566</v>
      </c>
      <c r="D41" s="17">
        <v>6975204.0185491769</v>
      </c>
      <c r="E41" s="26">
        <v>1.2913711151736746</v>
      </c>
      <c r="F41" s="17">
        <v>3653366.3670932362</v>
      </c>
      <c r="G41" s="26">
        <v>0.74095063985374765</v>
      </c>
      <c r="H41" s="17">
        <v>1138255.7824497258</v>
      </c>
      <c r="I41" s="17">
        <v>11766826.168092139</v>
      </c>
    </row>
    <row r="42" spans="2:9" x14ac:dyDescent="0.25">
      <c r="B42" s="27" t="s">
        <v>4</v>
      </c>
      <c r="C42" s="52">
        <v>358.40100000000001</v>
      </c>
      <c r="D42" s="58">
        <f>SUM(D26:D41)</f>
        <v>1907718299.0732</v>
      </c>
      <c r="E42" s="52">
        <v>353.18999999999994</v>
      </c>
      <c r="F42" s="58">
        <f>SUM(F26:F41)</f>
        <v>707558705.44223034</v>
      </c>
      <c r="G42" s="52">
        <v>202.64999999999995</v>
      </c>
      <c r="H42" s="58">
        <f>SUM(H26:H41)</f>
        <v>220449499.71252289</v>
      </c>
      <c r="I42" s="58">
        <f>SUM(I26:I41)</f>
        <v>2835726504.2279534</v>
      </c>
    </row>
  </sheetData>
  <mergeCells count="13">
    <mergeCell ref="B2:O2"/>
    <mergeCell ref="O3:O4"/>
    <mergeCell ref="Q2:R2"/>
    <mergeCell ref="K3:N3"/>
    <mergeCell ref="C24:D24"/>
    <mergeCell ref="E24:F24"/>
    <mergeCell ref="G24:H24"/>
    <mergeCell ref="I24:I25"/>
    <mergeCell ref="B24:B25"/>
    <mergeCell ref="B3:B4"/>
    <mergeCell ref="C3:C4"/>
    <mergeCell ref="G3:J3"/>
    <mergeCell ref="D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99"/>
  <sheetViews>
    <sheetView topLeftCell="B20" workbookViewId="0">
      <selection activeCell="D33" sqref="D33"/>
    </sheetView>
  </sheetViews>
  <sheetFormatPr baseColWidth="10" defaultRowHeight="15" x14ac:dyDescent="0.25"/>
  <cols>
    <col min="2" max="2" width="34" customWidth="1"/>
    <col min="3" max="3" width="13.28515625" bestFit="1" customWidth="1"/>
    <col min="4" max="4" width="14" customWidth="1"/>
    <col min="5" max="5" width="15.5703125" customWidth="1"/>
    <col min="6" max="6" width="19.140625" customWidth="1"/>
    <col min="7" max="7" width="14.42578125" customWidth="1"/>
    <col min="8" max="8" width="12.42578125" customWidth="1"/>
    <col min="9" max="9" width="12.5703125" customWidth="1"/>
    <col min="10" max="10" width="13.7109375" customWidth="1"/>
    <col min="11" max="11" width="13.85546875" bestFit="1" customWidth="1"/>
    <col min="12" max="12" width="13" bestFit="1" customWidth="1"/>
    <col min="13" max="13" width="12.5703125" customWidth="1"/>
    <col min="14" max="14" width="18.5703125" customWidth="1"/>
    <col min="15" max="15" width="13.5703125" customWidth="1"/>
  </cols>
  <sheetData>
    <row r="2" spans="1:15" x14ac:dyDescent="0.25">
      <c r="B2" s="76" t="s">
        <v>32</v>
      </c>
      <c r="C2" s="76"/>
      <c r="D2" s="76"/>
      <c r="F2" s="9" t="s">
        <v>24</v>
      </c>
      <c r="G2" s="86" t="s">
        <v>23</v>
      </c>
      <c r="H2" s="86"/>
      <c r="I2" s="86"/>
      <c r="J2" s="86" t="s">
        <v>31</v>
      </c>
      <c r="K2" s="86"/>
      <c r="L2" s="86"/>
      <c r="N2" s="5" t="s">
        <v>0</v>
      </c>
      <c r="O2" s="5" t="s">
        <v>40</v>
      </c>
    </row>
    <row r="3" spans="1:15" ht="15" customHeight="1" x14ac:dyDescent="0.25">
      <c r="B3" s="9" t="s">
        <v>21</v>
      </c>
      <c r="C3" s="9" t="s">
        <v>2</v>
      </c>
      <c r="D3" s="9" t="s">
        <v>25</v>
      </c>
      <c r="F3" s="104" t="s">
        <v>36</v>
      </c>
      <c r="G3" s="104"/>
      <c r="H3" s="11">
        <f>C11</f>
        <v>84760.933333752808</v>
      </c>
      <c r="I3" s="11">
        <f>C18</f>
        <v>480000</v>
      </c>
      <c r="J3" s="3" t="s">
        <v>37</v>
      </c>
      <c r="K3" s="11">
        <f>C12+C13</f>
        <v>21190.066666247185</v>
      </c>
      <c r="L3" s="10">
        <f>C19</f>
        <v>260000</v>
      </c>
      <c r="N3" s="1" t="s">
        <v>5</v>
      </c>
      <c r="O3" s="3">
        <v>0.28000000000000003</v>
      </c>
    </row>
    <row r="4" spans="1:15" ht="15" customHeight="1" x14ac:dyDescent="0.25">
      <c r="B4" s="1" t="s">
        <v>27</v>
      </c>
      <c r="C4" s="8">
        <v>254282</v>
      </c>
      <c r="D4" s="18">
        <f>((C4*100)/$C$7)*0.01</f>
        <v>0.80000125844732761</v>
      </c>
      <c r="F4" s="3">
        <v>2013</v>
      </c>
      <c r="G4" s="19">
        <v>5.5E-2</v>
      </c>
      <c r="H4" s="11">
        <f>H3+(H3*G4)</f>
        <v>89422.784667109212</v>
      </c>
      <c r="I4" s="11">
        <f>I3+(I3*G4)</f>
        <v>506400</v>
      </c>
      <c r="J4" s="19">
        <v>0.03</v>
      </c>
      <c r="K4" s="11">
        <f>K3+(K3*J4)</f>
        <v>21825.768666234602</v>
      </c>
      <c r="L4" s="11">
        <f>L3+(L3*J4)</f>
        <v>267800</v>
      </c>
      <c r="N4" s="1" t="s">
        <v>6</v>
      </c>
      <c r="O4" s="3">
        <v>0.28000000000000003</v>
      </c>
    </row>
    <row r="5" spans="1:15" ht="15" customHeight="1" x14ac:dyDescent="0.25">
      <c r="B5" s="1" t="s">
        <v>28</v>
      </c>
      <c r="C5" s="8">
        <v>31785</v>
      </c>
      <c r="D5" s="18">
        <f t="shared" ref="D5:D7" si="0">((C5*100)/$C$7)*0.01</f>
        <v>9.9999370776336166E-2</v>
      </c>
      <c r="F5" s="3">
        <v>2014</v>
      </c>
      <c r="G5" s="19">
        <v>7.1999999999999995E-2</v>
      </c>
      <c r="H5" s="11">
        <f t="shared" ref="H5:H9" si="1">H4+(H4*G5)</f>
        <v>95861.225163141076</v>
      </c>
      <c r="I5" s="11">
        <f t="shared" ref="I5:I9" si="2">I4+(I4*G5)</f>
        <v>542860.80000000005</v>
      </c>
      <c r="J5" s="19">
        <v>4.5999999999999999E-2</v>
      </c>
      <c r="K5" s="11">
        <f t="shared" ref="K5:K9" si="3">K4+(K4*J5)</f>
        <v>22829.754024881393</v>
      </c>
      <c r="L5" s="11">
        <f t="shared" ref="L5:L9" si="4">L4+(L4*J5)</f>
        <v>280118.8</v>
      </c>
      <c r="N5" s="1" t="s">
        <v>7</v>
      </c>
      <c r="O5" s="3">
        <v>0.28000000000000003</v>
      </c>
    </row>
    <row r="6" spans="1:15" ht="15" customHeight="1" x14ac:dyDescent="0.25">
      <c r="B6" s="1" t="s">
        <v>29</v>
      </c>
      <c r="C6" s="8">
        <v>31785</v>
      </c>
      <c r="D6" s="18">
        <f t="shared" si="0"/>
        <v>9.9999370776336166E-2</v>
      </c>
      <c r="F6" s="3">
        <v>2015</v>
      </c>
      <c r="G6" s="19">
        <v>5.1999999999999998E-2</v>
      </c>
      <c r="H6" s="11">
        <f t="shared" si="1"/>
        <v>100846.00887162441</v>
      </c>
      <c r="I6" s="11">
        <f t="shared" si="2"/>
        <v>571089.56160000002</v>
      </c>
      <c r="J6" s="19">
        <v>4.3999999999999997E-2</v>
      </c>
      <c r="K6" s="11">
        <f t="shared" si="3"/>
        <v>23834.263201976173</v>
      </c>
      <c r="L6" s="11">
        <f t="shared" si="4"/>
        <v>292444.02720000001</v>
      </c>
      <c r="N6" s="1" t="s">
        <v>8</v>
      </c>
      <c r="O6" s="3">
        <v>0.14000000000000001</v>
      </c>
    </row>
    <row r="7" spans="1:15" x14ac:dyDescent="0.25">
      <c r="B7" s="1" t="s">
        <v>30</v>
      </c>
      <c r="C7" s="10">
        <f>C4+C5+C6</f>
        <v>317852</v>
      </c>
      <c r="D7" s="18">
        <f t="shared" si="0"/>
        <v>1</v>
      </c>
      <c r="F7" s="3">
        <v>2016</v>
      </c>
      <c r="G7" s="19">
        <v>4.7E-2</v>
      </c>
      <c r="H7" s="11">
        <f t="shared" si="1"/>
        <v>105585.77128859075</v>
      </c>
      <c r="I7" s="11">
        <f t="shared" si="2"/>
        <v>597930.77099520003</v>
      </c>
      <c r="J7" s="19">
        <v>2.7E-2</v>
      </c>
      <c r="K7" s="11">
        <f t="shared" si="3"/>
        <v>24477.788308429528</v>
      </c>
      <c r="L7" s="11">
        <f t="shared" si="4"/>
        <v>300340.01593440003</v>
      </c>
      <c r="N7" s="1" t="s">
        <v>9</v>
      </c>
      <c r="O7" s="3">
        <v>0.14000000000000001</v>
      </c>
    </row>
    <row r="8" spans="1:15" x14ac:dyDescent="0.25">
      <c r="A8" s="15"/>
      <c r="B8" s="15"/>
      <c r="C8" s="15"/>
      <c r="D8" s="15"/>
      <c r="E8" s="15"/>
      <c r="F8" s="3">
        <v>2017</v>
      </c>
      <c r="G8" s="19">
        <v>4.5999999999999999E-2</v>
      </c>
      <c r="H8" s="11">
        <f t="shared" si="1"/>
        <v>110442.71676786593</v>
      </c>
      <c r="I8" s="11">
        <f t="shared" si="2"/>
        <v>625435.58646097919</v>
      </c>
      <c r="J8" s="19">
        <v>2.3E-2</v>
      </c>
      <c r="K8" s="11">
        <f t="shared" si="3"/>
        <v>25040.777439523408</v>
      </c>
      <c r="L8" s="11">
        <f t="shared" si="4"/>
        <v>307247.83630089124</v>
      </c>
      <c r="N8" s="1" t="s">
        <v>10</v>
      </c>
      <c r="O8" s="3">
        <v>0</v>
      </c>
    </row>
    <row r="9" spans="1:15" x14ac:dyDescent="0.25">
      <c r="A9" s="15"/>
      <c r="B9" s="76" t="s">
        <v>33</v>
      </c>
      <c r="C9" s="76"/>
      <c r="D9" s="76"/>
      <c r="E9" s="15"/>
      <c r="F9" s="3">
        <v>2018</v>
      </c>
      <c r="G9" s="19">
        <v>3.7999999999999999E-2</v>
      </c>
      <c r="H9" s="11">
        <f t="shared" si="1"/>
        <v>114639.54000504484</v>
      </c>
      <c r="I9" s="11">
        <f t="shared" si="2"/>
        <v>649202.13874649641</v>
      </c>
      <c r="J9" s="19">
        <v>2.5999999999999999E-2</v>
      </c>
      <c r="K9" s="11">
        <f t="shared" si="3"/>
        <v>25691.837652951017</v>
      </c>
      <c r="L9" s="11">
        <f t="shared" si="4"/>
        <v>315236.2800447144</v>
      </c>
      <c r="N9" s="1" t="s">
        <v>11</v>
      </c>
      <c r="O9" s="3">
        <v>0</v>
      </c>
    </row>
    <row r="10" spans="1:15" x14ac:dyDescent="0.25">
      <c r="B10" s="9" t="s">
        <v>21</v>
      </c>
      <c r="C10" s="9" t="s">
        <v>2</v>
      </c>
      <c r="D10" s="9" t="s">
        <v>22</v>
      </c>
      <c r="F10" s="86" t="s">
        <v>34</v>
      </c>
      <c r="G10" s="86"/>
      <c r="H10" s="86"/>
      <c r="I10" s="86"/>
      <c r="J10" s="86"/>
      <c r="K10" s="8">
        <v>105951</v>
      </c>
      <c r="L10" s="1"/>
      <c r="N10" s="1" t="s">
        <v>13</v>
      </c>
      <c r="O10" s="3">
        <v>0</v>
      </c>
    </row>
    <row r="11" spans="1:15" x14ac:dyDescent="0.25">
      <c r="B11" s="1" t="s">
        <v>27</v>
      </c>
      <c r="C11" s="8">
        <f>CPM*D4</f>
        <v>84760.933333752808</v>
      </c>
      <c r="D11" s="8">
        <f>H9</f>
        <v>114639.54000504484</v>
      </c>
      <c r="N11" s="1" t="s">
        <v>14</v>
      </c>
      <c r="O11" s="3">
        <v>0</v>
      </c>
    </row>
    <row r="12" spans="1:15" x14ac:dyDescent="0.25">
      <c r="B12" s="1" t="s">
        <v>28</v>
      </c>
      <c r="C12" s="8">
        <f>CPM*D5</f>
        <v>10595.033333123592</v>
      </c>
      <c r="D12" s="8">
        <f>K9/2</f>
        <v>12845.918826475508</v>
      </c>
      <c r="N12" s="1" t="s">
        <v>12</v>
      </c>
      <c r="O12" s="3">
        <v>0.14000000000000001</v>
      </c>
    </row>
    <row r="13" spans="1:15" x14ac:dyDescent="0.25">
      <c r="B13" s="1" t="s">
        <v>29</v>
      </c>
      <c r="C13" s="8">
        <f>CPM*D6</f>
        <v>10595.033333123592</v>
      </c>
      <c r="D13" s="8">
        <f>K9/2</f>
        <v>12845.918826475508</v>
      </c>
      <c r="N13" s="1" t="s">
        <v>15</v>
      </c>
      <c r="O13" s="3">
        <v>0.14000000000000001</v>
      </c>
    </row>
    <row r="14" spans="1:15" x14ac:dyDescent="0.25">
      <c r="B14" s="1" t="s">
        <v>35</v>
      </c>
      <c r="C14" s="10">
        <f>C11+C12+C13</f>
        <v>105950.99999999999</v>
      </c>
      <c r="D14" s="10">
        <f>D11+D12+D13</f>
        <v>140331.37765799585</v>
      </c>
      <c r="N14" s="1" t="s">
        <v>16</v>
      </c>
      <c r="O14" s="3">
        <v>0.14000000000000001</v>
      </c>
    </row>
    <row r="15" spans="1:15" x14ac:dyDescent="0.25">
      <c r="N15" s="1" t="s">
        <v>17</v>
      </c>
      <c r="O15" s="3">
        <v>0.14000000000000001</v>
      </c>
    </row>
    <row r="16" spans="1:15" x14ac:dyDescent="0.25">
      <c r="B16" s="76" t="s">
        <v>42</v>
      </c>
      <c r="C16" s="76"/>
      <c r="D16" s="76"/>
      <c r="E16" s="13"/>
      <c r="F16" s="15"/>
      <c r="G16" s="36"/>
      <c r="H16" s="36"/>
      <c r="I16" s="36"/>
      <c r="J16" s="36"/>
      <c r="K16" s="36"/>
      <c r="L16" s="36"/>
      <c r="N16" s="2" t="s">
        <v>18</v>
      </c>
      <c r="O16" s="3">
        <v>0.21</v>
      </c>
    </row>
    <row r="17" spans="2:15" x14ac:dyDescent="0.25">
      <c r="B17" s="9" t="s">
        <v>21</v>
      </c>
      <c r="C17" s="9" t="s">
        <v>2</v>
      </c>
      <c r="D17" s="9" t="s">
        <v>22</v>
      </c>
      <c r="E17" s="13"/>
      <c r="F17" s="15"/>
      <c r="G17" s="36"/>
      <c r="H17" s="36"/>
      <c r="I17" s="36"/>
      <c r="J17" s="36"/>
      <c r="K17" s="36"/>
      <c r="L17" s="36"/>
      <c r="N17" s="2" t="s">
        <v>19</v>
      </c>
      <c r="O17" s="3">
        <v>0.84</v>
      </c>
    </row>
    <row r="18" spans="2:15" x14ac:dyDescent="0.25">
      <c r="B18" s="1" t="s">
        <v>27</v>
      </c>
      <c r="C18" s="8">
        <f>320000+160000</f>
        <v>480000</v>
      </c>
      <c r="D18" s="8">
        <f>I9</f>
        <v>649202.13874649641</v>
      </c>
      <c r="E18" s="13"/>
      <c r="F18" s="15"/>
      <c r="G18" s="36"/>
      <c r="H18" s="36"/>
      <c r="I18" s="36"/>
      <c r="J18" s="36"/>
      <c r="K18" s="36"/>
      <c r="L18" s="36"/>
      <c r="N18" s="2" t="s">
        <v>20</v>
      </c>
      <c r="O18" s="3">
        <v>0.56000000000000005</v>
      </c>
    </row>
    <row r="19" spans="2:15" x14ac:dyDescent="0.25">
      <c r="B19" s="1" t="s">
        <v>28</v>
      </c>
      <c r="C19" s="8">
        <f>100000+100000+60000</f>
        <v>260000</v>
      </c>
      <c r="D19" s="8">
        <f>L9</f>
        <v>315236.2800447144</v>
      </c>
      <c r="E19" s="13"/>
      <c r="F19" s="15"/>
      <c r="G19" s="53"/>
      <c r="H19" s="53"/>
      <c r="I19" s="53"/>
      <c r="J19" s="53"/>
      <c r="K19" s="53"/>
      <c r="L19" s="36"/>
      <c r="M19" s="36"/>
    </row>
    <row r="20" spans="2:15" x14ac:dyDescent="0.25">
      <c r="B20" s="1" t="s">
        <v>43</v>
      </c>
      <c r="C20" s="10">
        <f>SUM(C18:C19)</f>
        <v>740000</v>
      </c>
      <c r="D20" s="8">
        <f>SUM(D18:D19)</f>
        <v>964438.41879121074</v>
      </c>
      <c r="F20" s="119" t="s">
        <v>125</v>
      </c>
      <c r="G20" s="80"/>
      <c r="H20" s="80"/>
      <c r="I20" s="80"/>
      <c r="J20" s="80"/>
      <c r="K20" s="80"/>
      <c r="L20" s="36"/>
      <c r="M20" s="36"/>
      <c r="N20" s="36"/>
    </row>
    <row r="21" spans="2:15" x14ac:dyDescent="0.25">
      <c r="B21" s="23" t="s">
        <v>44</v>
      </c>
      <c r="C21" s="24">
        <f>C20/50</f>
        <v>14800</v>
      </c>
      <c r="D21" s="24">
        <f>D20/50</f>
        <v>19288.768375824216</v>
      </c>
      <c r="F21" s="9" t="s">
        <v>0</v>
      </c>
      <c r="G21" s="9" t="s">
        <v>46</v>
      </c>
      <c r="H21" s="9" t="s">
        <v>128</v>
      </c>
      <c r="I21" s="9" t="s">
        <v>127</v>
      </c>
      <c r="J21" s="9" t="s">
        <v>126</v>
      </c>
      <c r="K21" s="9" t="s">
        <v>124</v>
      </c>
      <c r="L21" s="36"/>
      <c r="M21" s="36"/>
      <c r="N21" s="36"/>
    </row>
    <row r="22" spans="2:15" x14ac:dyDescent="0.25">
      <c r="F22" s="1" t="s">
        <v>5</v>
      </c>
      <c r="G22" s="3">
        <v>37</v>
      </c>
      <c r="H22" s="26">
        <f>$H$38*J22</f>
        <v>2.1645338208409508</v>
      </c>
      <c r="I22" s="26">
        <f>$I$38*J22</f>
        <v>11.83729433272395</v>
      </c>
      <c r="J22" s="55">
        <f t="shared" ref="J22:J37" si="5">((G22*100)/$G$38)*0.01</f>
        <v>6.7641681901279713E-2</v>
      </c>
      <c r="K22" s="26">
        <f t="shared" ref="K22:K37" si="6">SUM(G22:I22)</f>
        <v>51.001828153564901</v>
      </c>
      <c r="L22" s="36"/>
      <c r="M22" s="36"/>
      <c r="N22" s="36"/>
    </row>
    <row r="23" spans="2:15" x14ac:dyDescent="0.25">
      <c r="F23" s="1" t="s">
        <v>6</v>
      </c>
      <c r="G23" s="3">
        <v>15</v>
      </c>
      <c r="H23" s="26">
        <f t="shared" ref="H23:H37" si="7">$H$38*J23</f>
        <v>0.87751371115173671</v>
      </c>
      <c r="I23" s="26">
        <f t="shared" ref="I23:I37" si="8">$I$38*J23</f>
        <v>4.7989031078610598</v>
      </c>
      <c r="J23" s="25">
        <f t="shared" si="5"/>
        <v>2.7422303473491772E-2</v>
      </c>
      <c r="K23" s="26">
        <f t="shared" si="6"/>
        <v>20.676416819012797</v>
      </c>
      <c r="L23" s="36"/>
      <c r="M23" s="36"/>
      <c r="N23" s="36"/>
    </row>
    <row r="24" spans="2:15" x14ac:dyDescent="0.25">
      <c r="F24" s="1" t="s">
        <v>7</v>
      </c>
      <c r="G24" s="3">
        <v>12</v>
      </c>
      <c r="H24" s="26">
        <f t="shared" si="7"/>
        <v>0.70201096892138937</v>
      </c>
      <c r="I24" s="26">
        <f t="shared" si="8"/>
        <v>3.839122486288848</v>
      </c>
      <c r="J24" s="25">
        <f t="shared" si="5"/>
        <v>2.1937842778793418E-2</v>
      </c>
      <c r="K24" s="26">
        <f t="shared" si="6"/>
        <v>16.541133455210236</v>
      </c>
      <c r="L24" s="36"/>
      <c r="M24" s="36"/>
      <c r="N24" s="36"/>
    </row>
    <row r="25" spans="2:15" x14ac:dyDescent="0.25">
      <c r="F25" s="1" t="s">
        <v>8</v>
      </c>
      <c r="G25" s="3">
        <v>11</v>
      </c>
      <c r="H25" s="26">
        <f t="shared" si="7"/>
        <v>0.64351005484460699</v>
      </c>
      <c r="I25" s="26">
        <f t="shared" si="8"/>
        <v>3.5191956124314445</v>
      </c>
      <c r="J25" s="25">
        <f t="shared" si="5"/>
        <v>2.0109689213893969E-2</v>
      </c>
      <c r="K25" s="26">
        <f t="shared" si="6"/>
        <v>15.16270566727605</v>
      </c>
      <c r="L25" s="36"/>
      <c r="M25" s="36"/>
      <c r="N25" s="36"/>
    </row>
    <row r="26" spans="2:15" x14ac:dyDescent="0.25">
      <c r="F26" s="1" t="s">
        <v>9</v>
      </c>
      <c r="G26" s="3">
        <v>25</v>
      </c>
      <c r="H26" s="26">
        <f t="shared" si="7"/>
        <v>1.4625228519195614</v>
      </c>
      <c r="I26" s="26">
        <f t="shared" si="8"/>
        <v>7.9981718464351017</v>
      </c>
      <c r="J26" s="25">
        <f t="shared" si="5"/>
        <v>4.5703839122486295E-2</v>
      </c>
      <c r="K26" s="26">
        <f t="shared" si="6"/>
        <v>34.460694698354665</v>
      </c>
      <c r="L26" s="36"/>
      <c r="M26" s="36"/>
      <c r="N26" s="36"/>
    </row>
    <row r="27" spans="2:15" x14ac:dyDescent="0.25">
      <c r="F27" s="1" t="s">
        <v>10</v>
      </c>
      <c r="G27" s="3">
        <v>69</v>
      </c>
      <c r="H27" s="26">
        <f t="shared" si="7"/>
        <v>4.036563071297989</v>
      </c>
      <c r="I27" s="26">
        <f t="shared" si="8"/>
        <v>22.074954296160879</v>
      </c>
      <c r="J27" s="25">
        <f t="shared" si="5"/>
        <v>0.12614259597806216</v>
      </c>
      <c r="K27" s="26">
        <f t="shared" si="6"/>
        <v>95.111517367458873</v>
      </c>
      <c r="L27" s="36"/>
      <c r="M27" s="36"/>
      <c r="N27" s="36"/>
    </row>
    <row r="28" spans="2:15" x14ac:dyDescent="0.25">
      <c r="F28" s="1" t="s">
        <v>11</v>
      </c>
      <c r="G28" s="3">
        <v>142</v>
      </c>
      <c r="H28" s="26">
        <f t="shared" si="7"/>
        <v>8.307129798903107</v>
      </c>
      <c r="I28" s="26">
        <f t="shared" si="8"/>
        <v>45.429616087751363</v>
      </c>
      <c r="J28" s="25">
        <f t="shared" si="5"/>
        <v>0.25959780621572209</v>
      </c>
      <c r="K28" s="26">
        <f t="shared" si="6"/>
        <v>195.73674588665446</v>
      </c>
      <c r="L28" s="36"/>
      <c r="M28" s="36"/>
      <c r="N28" s="36"/>
    </row>
    <row r="29" spans="2:15" x14ac:dyDescent="0.25">
      <c r="F29" s="1" t="s">
        <v>13</v>
      </c>
      <c r="G29" s="3">
        <v>7</v>
      </c>
      <c r="H29" s="26">
        <f t="shared" si="7"/>
        <v>0.40950639853747717</v>
      </c>
      <c r="I29" s="26">
        <f t="shared" si="8"/>
        <v>2.2394881170018284</v>
      </c>
      <c r="J29" s="25">
        <f t="shared" si="5"/>
        <v>1.2797074954296161E-2</v>
      </c>
      <c r="K29" s="26">
        <f t="shared" si="6"/>
        <v>9.6489945155393055</v>
      </c>
      <c r="L29" s="36"/>
      <c r="M29" s="36"/>
      <c r="N29" s="36"/>
    </row>
    <row r="30" spans="2:15" x14ac:dyDescent="0.25">
      <c r="F30" s="1" t="s">
        <v>14</v>
      </c>
      <c r="G30" s="3">
        <v>49</v>
      </c>
      <c r="H30" s="26">
        <f t="shared" si="7"/>
        <v>2.8665447897623402</v>
      </c>
      <c r="I30" s="26">
        <f t="shared" si="8"/>
        <v>15.676416819012799</v>
      </c>
      <c r="J30" s="25">
        <f t="shared" si="5"/>
        <v>8.957952468007313E-2</v>
      </c>
      <c r="K30" s="26">
        <f t="shared" si="6"/>
        <v>67.542961608775144</v>
      </c>
      <c r="L30" s="36"/>
      <c r="M30" s="36"/>
      <c r="N30" s="36"/>
    </row>
    <row r="31" spans="2:15" x14ac:dyDescent="0.25">
      <c r="F31" s="1" t="s">
        <v>12</v>
      </c>
      <c r="G31" s="3">
        <v>1</v>
      </c>
      <c r="H31" s="26">
        <f t="shared" si="7"/>
        <v>5.850091407678245E-2</v>
      </c>
      <c r="I31" s="26">
        <f t="shared" si="8"/>
        <v>0.31992687385740404</v>
      </c>
      <c r="J31" s="25">
        <f t="shared" si="5"/>
        <v>1.8281535648994515E-3</v>
      </c>
      <c r="K31" s="26">
        <f t="shared" si="6"/>
        <v>1.3784277879341866</v>
      </c>
      <c r="L31" s="36"/>
      <c r="M31" s="36"/>
      <c r="N31" s="36"/>
    </row>
    <row r="32" spans="2:15" x14ac:dyDescent="0.25">
      <c r="F32" s="1" t="s">
        <v>15</v>
      </c>
      <c r="G32" s="3">
        <v>59</v>
      </c>
      <c r="H32" s="26">
        <f t="shared" si="7"/>
        <v>3.4515539305301646</v>
      </c>
      <c r="I32" s="26">
        <f t="shared" si="8"/>
        <v>18.875685557586838</v>
      </c>
      <c r="J32" s="25">
        <f t="shared" si="5"/>
        <v>0.10786106032906764</v>
      </c>
      <c r="K32" s="26">
        <f t="shared" si="6"/>
        <v>81.327239488117002</v>
      </c>
      <c r="L32" s="36"/>
      <c r="M32" s="36"/>
      <c r="N32" s="36"/>
    </row>
    <row r="33" spans="2:18" x14ac:dyDescent="0.25">
      <c r="F33" s="1" t="s">
        <v>16</v>
      </c>
      <c r="G33" s="3">
        <v>23</v>
      </c>
      <c r="H33" s="26">
        <f t="shared" si="7"/>
        <v>1.3455210237659965</v>
      </c>
      <c r="I33" s="26">
        <f t="shared" si="8"/>
        <v>7.358318098720293</v>
      </c>
      <c r="J33" s="25">
        <f t="shared" si="5"/>
        <v>4.204753199268739E-2</v>
      </c>
      <c r="K33" s="26">
        <f t="shared" si="6"/>
        <v>31.70383912248629</v>
      </c>
      <c r="L33" s="36"/>
      <c r="M33" s="36"/>
      <c r="N33" s="36"/>
    </row>
    <row r="34" spans="2:18" x14ac:dyDescent="0.25">
      <c r="F34" s="1" t="s">
        <v>17</v>
      </c>
      <c r="G34" s="3">
        <v>13</v>
      </c>
      <c r="H34" s="26">
        <f t="shared" si="7"/>
        <v>0.76051188299817185</v>
      </c>
      <c r="I34" s="26">
        <f t="shared" si="8"/>
        <v>4.1590493601462519</v>
      </c>
      <c r="J34" s="25">
        <f t="shared" si="5"/>
        <v>2.376599634369287E-2</v>
      </c>
      <c r="K34" s="26">
        <f t="shared" si="6"/>
        <v>17.919561243144422</v>
      </c>
      <c r="L34" s="36"/>
      <c r="M34" s="36"/>
      <c r="N34" s="36"/>
    </row>
    <row r="35" spans="2:18" x14ac:dyDescent="0.25">
      <c r="F35" s="2" t="s">
        <v>18</v>
      </c>
      <c r="G35" s="3">
        <v>78</v>
      </c>
      <c r="H35" s="26">
        <f t="shared" si="7"/>
        <v>4.5630712979890315</v>
      </c>
      <c r="I35" s="26">
        <f t="shared" si="8"/>
        <v>24.954296160877515</v>
      </c>
      <c r="J35" s="25">
        <f t="shared" si="5"/>
        <v>0.14259597806215724</v>
      </c>
      <c r="K35" s="26">
        <f t="shared" si="6"/>
        <v>107.51736745886654</v>
      </c>
      <c r="L35" s="36"/>
      <c r="M35" s="36"/>
      <c r="N35" s="36"/>
    </row>
    <row r="36" spans="2:18" x14ac:dyDescent="0.25">
      <c r="D36" s="15"/>
      <c r="E36" s="15"/>
      <c r="F36" s="2" t="s">
        <v>19</v>
      </c>
      <c r="G36" s="3">
        <v>4</v>
      </c>
      <c r="H36" s="26">
        <f t="shared" si="7"/>
        <v>0.2340036563071298</v>
      </c>
      <c r="I36" s="26">
        <f t="shared" si="8"/>
        <v>1.2797074954296161</v>
      </c>
      <c r="J36" s="25">
        <f t="shared" si="5"/>
        <v>7.3126142595978062E-3</v>
      </c>
      <c r="K36" s="26">
        <f t="shared" si="6"/>
        <v>5.5137111517367465</v>
      </c>
      <c r="L36" s="36"/>
      <c r="M36" s="36"/>
      <c r="N36" s="36"/>
    </row>
    <row r="37" spans="2:18" x14ac:dyDescent="0.25">
      <c r="D37" s="15"/>
      <c r="E37" s="15"/>
      <c r="F37" s="2" t="s">
        <v>20</v>
      </c>
      <c r="G37" s="3">
        <v>2</v>
      </c>
      <c r="H37" s="26">
        <f t="shared" si="7"/>
        <v>0.1170018281535649</v>
      </c>
      <c r="I37" s="26">
        <f t="shared" si="8"/>
        <v>0.63985374771480807</v>
      </c>
      <c r="J37" s="25">
        <f t="shared" si="5"/>
        <v>3.6563071297989031E-3</v>
      </c>
      <c r="K37" s="26">
        <f t="shared" si="6"/>
        <v>2.7568555758683733</v>
      </c>
      <c r="L37" s="36"/>
      <c r="M37" s="36"/>
      <c r="N37" s="36"/>
    </row>
    <row r="38" spans="2:18" x14ac:dyDescent="0.25">
      <c r="D38" s="15"/>
      <c r="E38" s="15"/>
      <c r="F38" s="6" t="s">
        <v>4</v>
      </c>
      <c r="G38" s="5">
        <f>SUM(G22:G37)</f>
        <v>547</v>
      </c>
      <c r="H38" s="5">
        <f>27+5</f>
        <v>32</v>
      </c>
      <c r="I38" s="5">
        <f>10+165</f>
        <v>175</v>
      </c>
      <c r="J38" s="54">
        <f>SUM(J22:J37)</f>
        <v>0.99999999999999989</v>
      </c>
      <c r="K38" s="5">
        <f>SUM(K22:K37)</f>
        <v>754.00000000000011</v>
      </c>
      <c r="L38" s="36"/>
      <c r="M38" s="36"/>
      <c r="N38" s="36"/>
      <c r="O38" s="15"/>
      <c r="P38" s="15"/>
      <c r="Q38" s="15"/>
      <c r="R38" s="15"/>
    </row>
    <row r="39" spans="2:18" s="15" customFormat="1" x14ac:dyDescent="0.25"/>
    <row r="40" spans="2:18" x14ac:dyDescent="0.25">
      <c r="B40" s="128" t="s">
        <v>73</v>
      </c>
      <c r="C40" s="129"/>
      <c r="D40" s="129"/>
      <c r="E40" s="15"/>
      <c r="F40" s="15"/>
      <c r="G40" s="15"/>
      <c r="H40" s="9" t="s">
        <v>24</v>
      </c>
      <c r="I40" s="132" t="s">
        <v>23</v>
      </c>
      <c r="J40" s="133"/>
      <c r="K40" s="86" t="s">
        <v>31</v>
      </c>
      <c r="L40" s="86"/>
      <c r="M40" s="86"/>
      <c r="N40" s="15"/>
      <c r="O40" s="15"/>
      <c r="P40" s="15"/>
      <c r="Q40" s="15"/>
      <c r="R40" s="15"/>
    </row>
    <row r="41" spans="2:18" x14ac:dyDescent="0.25">
      <c r="B41" s="130" t="s">
        <v>89</v>
      </c>
      <c r="C41" s="131"/>
      <c r="D41" s="131"/>
      <c r="E41" s="15"/>
      <c r="F41" s="15"/>
      <c r="G41" s="15"/>
      <c r="H41" s="104" t="s">
        <v>98</v>
      </c>
      <c r="I41" s="104"/>
      <c r="J41" s="11">
        <f>C92</f>
        <v>74400000</v>
      </c>
      <c r="K41" s="3" t="s">
        <v>99</v>
      </c>
      <c r="L41" s="11">
        <f>C74</f>
        <v>51726000</v>
      </c>
      <c r="M41" s="50">
        <f>D74</f>
        <v>65270780.799999997</v>
      </c>
      <c r="N41" s="15"/>
      <c r="O41" s="15"/>
      <c r="P41" s="15"/>
      <c r="Q41" s="15"/>
      <c r="R41" s="15"/>
    </row>
    <row r="42" spans="2:18" x14ac:dyDescent="0.25">
      <c r="B42" s="31" t="s">
        <v>21</v>
      </c>
      <c r="C42" s="31" t="s">
        <v>108</v>
      </c>
      <c r="D42" s="31" t="s">
        <v>109</v>
      </c>
      <c r="E42" s="15"/>
      <c r="F42" s="15"/>
      <c r="G42" s="15"/>
      <c r="H42" s="3">
        <v>2014</v>
      </c>
      <c r="I42" s="19">
        <v>7.1999999999999995E-2</v>
      </c>
      <c r="J42" s="11">
        <f t="shared" ref="J42:J43" si="9">J41+(J41*I42)</f>
        <v>79756800</v>
      </c>
      <c r="K42" s="19">
        <v>4.5999999999999999E-2</v>
      </c>
      <c r="L42" s="11">
        <f t="shared" ref="L42:L43" si="10">L41+(L41*K42)</f>
        <v>54105396</v>
      </c>
      <c r="M42" s="11">
        <f>M41+(M41*K42)</f>
        <v>68273236.716800004</v>
      </c>
      <c r="N42" s="36"/>
      <c r="O42" s="36"/>
      <c r="P42" s="36"/>
      <c r="Q42" s="36"/>
      <c r="R42" s="36"/>
    </row>
    <row r="43" spans="2:18" x14ac:dyDescent="0.25">
      <c r="B43" s="35" t="s">
        <v>90</v>
      </c>
      <c r="C43" s="35">
        <f>SUM(C44:C60)</f>
        <v>24306000</v>
      </c>
      <c r="D43" s="35">
        <f>SUM(D44:D60)</f>
        <v>37850780.799999997</v>
      </c>
      <c r="E43" s="15"/>
      <c r="F43" s="15"/>
      <c r="G43" s="15"/>
      <c r="H43" s="3">
        <v>2015</v>
      </c>
      <c r="I43" s="19">
        <v>5.1999999999999998E-2</v>
      </c>
      <c r="J43" s="11">
        <f t="shared" si="9"/>
        <v>83904153.599999994</v>
      </c>
      <c r="K43" s="19">
        <v>4.3999999999999997E-2</v>
      </c>
      <c r="L43" s="11">
        <f t="shared" si="10"/>
        <v>56486033.424000002</v>
      </c>
      <c r="M43" s="11">
        <f t="shared" ref="M43:M46" si="11">M42+(M42*K43)</f>
        <v>71277259.132339209</v>
      </c>
      <c r="N43" s="36"/>
      <c r="O43" s="36"/>
      <c r="P43" s="36"/>
      <c r="Q43" s="36"/>
      <c r="R43" s="36"/>
    </row>
    <row r="44" spans="2:18" x14ac:dyDescent="0.25">
      <c r="B44" s="30" t="s">
        <v>91</v>
      </c>
      <c r="C44" s="41"/>
      <c r="D44" s="49">
        <f>M64*12</f>
        <v>13544780.799999997</v>
      </c>
      <c r="E44" s="15"/>
      <c r="F44" s="15"/>
      <c r="G44" s="15"/>
      <c r="H44" s="3">
        <v>2016</v>
      </c>
      <c r="I44" s="19">
        <v>4.7E-2</v>
      </c>
      <c r="J44" s="11">
        <f>J43+(J43*I44)</f>
        <v>87847648.819199994</v>
      </c>
      <c r="K44" s="19">
        <v>2.7E-2</v>
      </c>
      <c r="L44" s="11">
        <f>L43+(L43*K44)</f>
        <v>58011156.326448001</v>
      </c>
      <c r="M44" s="11">
        <f t="shared" si="11"/>
        <v>73201745.128912374</v>
      </c>
      <c r="N44" s="36"/>
      <c r="O44" s="36"/>
      <c r="P44" s="36"/>
      <c r="Q44" s="36"/>
      <c r="R44" s="36"/>
    </row>
    <row r="45" spans="2:18" x14ac:dyDescent="0.25">
      <c r="B45" s="30" t="s">
        <v>92</v>
      </c>
      <c r="C45" s="42">
        <v>1120000</v>
      </c>
      <c r="D45" s="42">
        <v>1120000</v>
      </c>
      <c r="E45" s="15"/>
      <c r="F45" s="15"/>
      <c r="G45" s="15"/>
      <c r="H45" s="3">
        <v>2017</v>
      </c>
      <c r="I45" s="19">
        <v>4.5999999999999999E-2</v>
      </c>
      <c r="J45" s="11">
        <f>J44+(J44*I45)</f>
        <v>91888640.664883196</v>
      </c>
      <c r="K45" s="19">
        <v>2.3E-2</v>
      </c>
      <c r="L45" s="11">
        <f>L44+(L44*K45)</f>
        <v>59345412.921956308</v>
      </c>
      <c r="M45" s="11">
        <f t="shared" si="11"/>
        <v>74885385.266877353</v>
      </c>
      <c r="N45" s="36"/>
      <c r="O45" s="36"/>
      <c r="P45" s="36"/>
      <c r="Q45" s="36"/>
      <c r="R45" s="36"/>
    </row>
    <row r="46" spans="2:18" x14ac:dyDescent="0.25">
      <c r="B46" s="30" t="s">
        <v>93</v>
      </c>
      <c r="C46" s="30">
        <v>2922000</v>
      </c>
      <c r="D46" s="30">
        <v>2922000</v>
      </c>
      <c r="E46" s="15"/>
      <c r="F46" s="15"/>
      <c r="G46" s="15"/>
      <c r="H46" s="3">
        <v>2018</v>
      </c>
      <c r="I46" s="19">
        <v>3.7999999999999999E-2</v>
      </c>
      <c r="J46" s="11">
        <f>J45+(J45*I46)</f>
        <v>95380409.010148764</v>
      </c>
      <c r="K46" s="19">
        <v>2.5999999999999999E-2</v>
      </c>
      <c r="L46" s="11">
        <f>L45+(L45*K46)</f>
        <v>60888393.65792717</v>
      </c>
      <c r="M46" s="11">
        <f t="shared" si="11"/>
        <v>76832405.283816159</v>
      </c>
      <c r="N46" s="36"/>
      <c r="O46" s="36"/>
      <c r="P46" s="36"/>
      <c r="Q46" s="36"/>
      <c r="R46" s="36"/>
    </row>
    <row r="47" spans="2:18" x14ac:dyDescent="0.25">
      <c r="B47" s="30" t="s">
        <v>94</v>
      </c>
      <c r="C47" s="30">
        <v>1106000</v>
      </c>
      <c r="D47" s="30">
        <v>1106000</v>
      </c>
      <c r="E47" s="15"/>
      <c r="F47" s="15"/>
      <c r="G47" s="15"/>
      <c r="H47" s="32"/>
      <c r="I47" s="32"/>
      <c r="J47" s="32"/>
      <c r="K47" s="14"/>
      <c r="L47" s="14"/>
      <c r="M47" s="36"/>
      <c r="N47" s="36"/>
      <c r="O47" s="36"/>
      <c r="P47" s="36"/>
      <c r="Q47" s="36"/>
      <c r="R47" s="36"/>
    </row>
    <row r="48" spans="2:18" x14ac:dyDescent="0.25">
      <c r="B48" s="30" t="s">
        <v>49</v>
      </c>
      <c r="C48" s="30">
        <v>1028000</v>
      </c>
      <c r="D48" s="30">
        <v>1028000</v>
      </c>
      <c r="E48" s="15"/>
      <c r="F48" s="15"/>
      <c r="G48" s="15"/>
      <c r="H48" s="15"/>
      <c r="I48" s="15"/>
      <c r="J48" s="15"/>
      <c r="K48" s="15"/>
      <c r="L48" s="15"/>
      <c r="M48" s="36"/>
      <c r="N48" s="36"/>
    </row>
    <row r="49" spans="2:14" x14ac:dyDescent="0.25">
      <c r="B49" s="30" t="s">
        <v>50</v>
      </c>
      <c r="C49" s="30">
        <v>5050000</v>
      </c>
      <c r="D49" s="30">
        <v>5050000</v>
      </c>
      <c r="E49" s="15"/>
      <c r="F49" s="15"/>
      <c r="G49" s="15"/>
      <c r="H49" s="14"/>
      <c r="I49" s="14"/>
      <c r="J49" s="14"/>
      <c r="K49" s="14"/>
      <c r="L49" s="14"/>
      <c r="M49" s="14"/>
      <c r="N49" s="36"/>
    </row>
    <row r="50" spans="2:14" x14ac:dyDescent="0.25">
      <c r="B50" s="30" t="s">
        <v>51</v>
      </c>
      <c r="C50" s="30">
        <v>1120000</v>
      </c>
      <c r="D50" s="30">
        <v>1120000</v>
      </c>
      <c r="E50" s="126" t="s">
        <v>106</v>
      </c>
      <c r="F50" s="127"/>
      <c r="G50" s="127"/>
      <c r="H50" s="127"/>
      <c r="I50" s="14"/>
      <c r="J50" s="92" t="s">
        <v>131</v>
      </c>
      <c r="K50" s="92"/>
      <c r="L50" s="92"/>
      <c r="M50" s="14"/>
      <c r="N50" s="14"/>
    </row>
    <row r="51" spans="2:14" x14ac:dyDescent="0.25">
      <c r="B51" s="30" t="s">
        <v>52</v>
      </c>
      <c r="C51" s="30">
        <v>200000</v>
      </c>
      <c r="D51" s="30">
        <v>200000</v>
      </c>
      <c r="E51" s="39" t="s">
        <v>21</v>
      </c>
      <c r="F51" s="37" t="s">
        <v>39</v>
      </c>
      <c r="G51" s="37" t="s">
        <v>104</v>
      </c>
      <c r="H51" s="37" t="s">
        <v>105</v>
      </c>
      <c r="I51" s="14"/>
      <c r="J51" s="37" t="s">
        <v>147</v>
      </c>
      <c r="K51" s="37" t="s">
        <v>122</v>
      </c>
      <c r="L51" s="37" t="s">
        <v>4</v>
      </c>
      <c r="M51" s="14"/>
      <c r="N51" s="14"/>
    </row>
    <row r="52" spans="2:14" x14ac:dyDescent="0.25">
      <c r="B52" s="30" t="s">
        <v>53</v>
      </c>
      <c r="C52" s="30">
        <v>600000</v>
      </c>
      <c r="D52" s="30">
        <v>600000</v>
      </c>
      <c r="E52" s="22" t="s">
        <v>103</v>
      </c>
      <c r="F52" s="24">
        <f>C93</f>
        <v>95380409.010148764</v>
      </c>
      <c r="G52" s="24">
        <f>F52/25</f>
        <v>3815216.3604059503</v>
      </c>
      <c r="H52" s="24">
        <f>G52/12</f>
        <v>317934.69670049584</v>
      </c>
      <c r="I52" s="14"/>
      <c r="J52" s="70">
        <v>3</v>
      </c>
      <c r="K52" s="25">
        <v>1</v>
      </c>
      <c r="L52" s="12">
        <f>(J52*16250)*K52</f>
        <v>48750</v>
      </c>
      <c r="M52" s="14"/>
    </row>
    <row r="53" spans="2:14" x14ac:dyDescent="0.25">
      <c r="B53" s="30" t="s">
        <v>54</v>
      </c>
      <c r="C53" s="30">
        <v>1440000</v>
      </c>
      <c r="D53" s="30">
        <v>1440000</v>
      </c>
      <c r="E53" s="22" t="s">
        <v>26</v>
      </c>
      <c r="F53" s="24">
        <f>C75</f>
        <v>60888393.65792717</v>
      </c>
      <c r="G53" s="24">
        <f>F53/25</f>
        <v>2435535.7463170867</v>
      </c>
      <c r="H53" s="24">
        <f>G53/12</f>
        <v>202961.31219309056</v>
      </c>
      <c r="I53" s="14"/>
      <c r="J53" s="12">
        <v>10</v>
      </c>
      <c r="K53" s="25">
        <v>0.20499999999999999</v>
      </c>
      <c r="L53" s="12">
        <f>(J53*16250)*K53</f>
        <v>33312.5</v>
      </c>
      <c r="M53" s="14"/>
    </row>
    <row r="54" spans="2:14" x14ac:dyDescent="0.25">
      <c r="B54" s="30" t="s">
        <v>55</v>
      </c>
      <c r="C54" s="30">
        <v>1800000</v>
      </c>
      <c r="D54" s="30">
        <v>1800000</v>
      </c>
      <c r="E54" s="40" t="s">
        <v>4</v>
      </c>
      <c r="F54" s="38">
        <f>SUM(F52:F53)</f>
        <v>156268802.66807592</v>
      </c>
      <c r="G54" s="38">
        <f>F54/25</f>
        <v>6250752.1067230366</v>
      </c>
      <c r="H54" s="38">
        <f>G54/12</f>
        <v>520896.0088935864</v>
      </c>
      <c r="I54" s="14"/>
      <c r="L54" s="57">
        <f>SUM(L52:L53)</f>
        <v>82062.5</v>
      </c>
      <c r="M54" s="14"/>
    </row>
    <row r="55" spans="2:14" x14ac:dyDescent="0.25">
      <c r="B55" s="30" t="s">
        <v>56</v>
      </c>
      <c r="C55" s="30">
        <v>2400000</v>
      </c>
      <c r="D55" s="30">
        <v>2400000</v>
      </c>
      <c r="E55" s="15"/>
      <c r="F55" s="15"/>
      <c r="G55" s="15"/>
      <c r="H55" s="14"/>
      <c r="I55" s="14"/>
      <c r="L55" s="14"/>
      <c r="M55" s="14"/>
    </row>
    <row r="56" spans="2:14" x14ac:dyDescent="0.25">
      <c r="B56" s="30" t="s">
        <v>57</v>
      </c>
      <c r="C56" s="30">
        <v>720000</v>
      </c>
      <c r="D56" s="30">
        <v>720000</v>
      </c>
      <c r="E56" s="126" t="s">
        <v>107</v>
      </c>
      <c r="F56" s="127"/>
      <c r="G56" s="127"/>
      <c r="H56" s="127"/>
    </row>
    <row r="57" spans="2:14" x14ac:dyDescent="0.25">
      <c r="B57" s="30" t="s">
        <v>58</v>
      </c>
      <c r="C57" s="30">
        <v>360000</v>
      </c>
      <c r="D57" s="30">
        <v>360000</v>
      </c>
      <c r="E57" s="39" t="s">
        <v>21</v>
      </c>
      <c r="F57" s="37" t="s">
        <v>39</v>
      </c>
      <c r="G57" s="37" t="s">
        <v>104</v>
      </c>
      <c r="H57" s="37" t="s">
        <v>105</v>
      </c>
    </row>
    <row r="58" spans="2:14" x14ac:dyDescent="0.25">
      <c r="B58" s="30" t="s">
        <v>59</v>
      </c>
      <c r="C58" s="30">
        <v>600000</v>
      </c>
      <c r="D58" s="30">
        <v>600000</v>
      </c>
      <c r="E58" s="22" t="s">
        <v>103</v>
      </c>
      <c r="F58" s="24">
        <f>D93</f>
        <v>95380409.010148764</v>
      </c>
      <c r="G58" s="24">
        <f>F58/25</f>
        <v>3815216.3604059503</v>
      </c>
      <c r="H58" s="24">
        <f>G58/12</f>
        <v>317934.69670049584</v>
      </c>
    </row>
    <row r="59" spans="2:14" x14ac:dyDescent="0.25">
      <c r="B59" s="30" t="s">
        <v>60</v>
      </c>
      <c r="C59" s="30">
        <v>2400000</v>
      </c>
      <c r="D59" s="30">
        <v>2400000</v>
      </c>
      <c r="E59" s="22" t="s">
        <v>26</v>
      </c>
      <c r="F59" s="24">
        <f>D75</f>
        <v>76832405.283816159</v>
      </c>
      <c r="G59" s="24">
        <f>F59/25</f>
        <v>3073296.2113526464</v>
      </c>
      <c r="H59" s="24">
        <f>G59/12</f>
        <v>256108.01761272052</v>
      </c>
    </row>
    <row r="60" spans="2:14" x14ac:dyDescent="0.25">
      <c r="B60" s="30" t="s">
        <v>61</v>
      </c>
      <c r="C60" s="30">
        <v>1440000</v>
      </c>
      <c r="D60" s="30">
        <v>1440000</v>
      </c>
      <c r="E60" s="40" t="s">
        <v>4</v>
      </c>
      <c r="F60" s="38">
        <f>SUM(F58:F59)</f>
        <v>172212814.29396492</v>
      </c>
      <c r="G60" s="38">
        <f>F60/25</f>
        <v>6888512.5717585972</v>
      </c>
      <c r="H60" s="38">
        <f>G60/12</f>
        <v>574042.71431321639</v>
      </c>
    </row>
    <row r="61" spans="2:14" x14ac:dyDescent="0.25">
      <c r="B61" s="35" t="s">
        <v>96</v>
      </c>
      <c r="C61" s="35">
        <f>SUM(C62:C68)</f>
        <v>22620000</v>
      </c>
      <c r="D61" s="35">
        <f>SUM(D62:D68)</f>
        <v>22620000</v>
      </c>
      <c r="E61" s="15"/>
      <c r="F61" s="15"/>
      <c r="G61" s="15"/>
    </row>
    <row r="62" spans="2:14" x14ac:dyDescent="0.25">
      <c r="B62" s="30" t="s">
        <v>62</v>
      </c>
      <c r="C62" s="30">
        <v>3240000</v>
      </c>
      <c r="D62" s="30">
        <v>3240000</v>
      </c>
      <c r="E62" s="44"/>
      <c r="F62" s="123" t="s">
        <v>145</v>
      </c>
      <c r="G62" s="124"/>
      <c r="H62" s="124"/>
      <c r="I62" s="124"/>
      <c r="J62" s="124"/>
      <c r="K62" s="124"/>
      <c r="L62" s="124"/>
      <c r="M62" s="125"/>
    </row>
    <row r="63" spans="2:14" x14ac:dyDescent="0.25">
      <c r="B63" s="30" t="s">
        <v>63</v>
      </c>
      <c r="C63" s="30">
        <v>2700000</v>
      </c>
      <c r="D63" s="30">
        <v>2700000</v>
      </c>
      <c r="E63" s="44"/>
      <c r="F63" s="45" t="s">
        <v>111</v>
      </c>
      <c r="G63" s="45" t="s">
        <v>112</v>
      </c>
      <c r="H63" s="46" t="s">
        <v>113</v>
      </c>
      <c r="I63" s="45" t="s">
        <v>114</v>
      </c>
      <c r="J63" s="45" t="s">
        <v>115</v>
      </c>
      <c r="K63" s="45" t="s">
        <v>118</v>
      </c>
      <c r="L63" s="4" t="s">
        <v>116</v>
      </c>
      <c r="M63" s="45" t="s">
        <v>117</v>
      </c>
    </row>
    <row r="64" spans="2:14" x14ac:dyDescent="0.25">
      <c r="B64" s="30" t="s">
        <v>64</v>
      </c>
      <c r="C64" s="30">
        <v>6480000</v>
      </c>
      <c r="D64" s="30">
        <v>6480000</v>
      </c>
      <c r="E64" s="44"/>
      <c r="F64" s="47" t="s">
        <v>110</v>
      </c>
      <c r="G64" s="47">
        <v>48.64</v>
      </c>
      <c r="H64" s="43">
        <v>326.3</v>
      </c>
      <c r="I64" s="43">
        <v>723.7</v>
      </c>
      <c r="J64" s="48">
        <v>30</v>
      </c>
      <c r="K64" s="3">
        <f>G64/J64</f>
        <v>1.6213333333333333</v>
      </c>
      <c r="L64" s="3">
        <f>K64*27847</f>
        <v>45149.26933333333</v>
      </c>
      <c r="M64" s="17">
        <f>L64*25</f>
        <v>1128731.7333333332</v>
      </c>
    </row>
    <row r="65" spans="2:12" x14ac:dyDescent="0.25">
      <c r="B65" s="30" t="s">
        <v>65</v>
      </c>
      <c r="C65" s="30">
        <v>5400000</v>
      </c>
      <c r="D65" s="30">
        <v>5400000</v>
      </c>
      <c r="E65" s="15"/>
      <c r="F65" s="15"/>
      <c r="G65" s="15"/>
      <c r="H65" s="15"/>
    </row>
    <row r="66" spans="2:12" x14ac:dyDescent="0.25">
      <c r="B66" s="30" t="s">
        <v>66</v>
      </c>
      <c r="C66" s="30">
        <v>1200000</v>
      </c>
      <c r="D66" s="30">
        <v>1200000</v>
      </c>
      <c r="E66" s="15"/>
      <c r="F66" s="15"/>
      <c r="G66" s="15"/>
    </row>
    <row r="67" spans="2:12" x14ac:dyDescent="0.25">
      <c r="B67" s="30" t="s">
        <v>67</v>
      </c>
      <c r="C67" s="30">
        <v>2400000</v>
      </c>
      <c r="D67" s="30">
        <v>2400000</v>
      </c>
      <c r="E67" s="15"/>
      <c r="F67" s="15"/>
      <c r="G67" s="15"/>
    </row>
    <row r="68" spans="2:12" x14ac:dyDescent="0.25">
      <c r="B68" s="30" t="s">
        <v>68</v>
      </c>
      <c r="C68" s="30">
        <v>1200000</v>
      </c>
      <c r="D68" s="30">
        <v>1200000</v>
      </c>
      <c r="E68" s="15"/>
      <c r="F68" s="15"/>
      <c r="G68" s="15"/>
    </row>
    <row r="69" spans="2:12" x14ac:dyDescent="0.25">
      <c r="B69" s="35" t="s">
        <v>97</v>
      </c>
      <c r="C69" s="35">
        <f>SUM(C70:C73)</f>
        <v>4800000</v>
      </c>
      <c r="D69" s="35">
        <f>SUM(D70:D73)</f>
        <v>4800000</v>
      </c>
      <c r="E69" s="15"/>
      <c r="F69" s="15"/>
      <c r="G69" s="15"/>
    </row>
    <row r="70" spans="2:12" x14ac:dyDescent="0.25">
      <c r="B70" s="30" t="s">
        <v>69</v>
      </c>
      <c r="C70" s="30">
        <v>600000</v>
      </c>
      <c r="D70" s="30">
        <v>600000</v>
      </c>
      <c r="E70" s="15"/>
      <c r="F70" s="15"/>
      <c r="G70" s="15"/>
    </row>
    <row r="71" spans="2:12" x14ac:dyDescent="0.25">
      <c r="B71" s="30" t="s">
        <v>70</v>
      </c>
      <c r="C71" s="30">
        <v>600000</v>
      </c>
      <c r="D71" s="30">
        <v>600000</v>
      </c>
      <c r="E71" s="15"/>
      <c r="F71" s="7" t="s">
        <v>146</v>
      </c>
      <c r="G71" s="7" t="s">
        <v>147</v>
      </c>
      <c r="H71" s="7" t="s">
        <v>148</v>
      </c>
      <c r="I71" s="76" t="s">
        <v>152</v>
      </c>
      <c r="J71" s="76"/>
      <c r="K71" s="76"/>
    </row>
    <row r="72" spans="2:12" ht="15" customHeight="1" x14ac:dyDescent="0.25">
      <c r="B72" s="30" t="s">
        <v>71</v>
      </c>
      <c r="C72" s="30">
        <v>1200000</v>
      </c>
      <c r="D72" s="30">
        <v>1200000</v>
      </c>
      <c r="E72" s="15"/>
      <c r="F72" s="79" t="s">
        <v>149</v>
      </c>
      <c r="G72" s="106">
        <v>7.9</v>
      </c>
      <c r="H72" s="94">
        <f>G72*16250</f>
        <v>128375</v>
      </c>
      <c r="I72" s="79" t="s">
        <v>151</v>
      </c>
      <c r="J72" s="79"/>
      <c r="K72" s="79"/>
      <c r="L72" t="s">
        <v>154</v>
      </c>
    </row>
    <row r="73" spans="2:12" x14ac:dyDescent="0.25">
      <c r="B73" s="30" t="s">
        <v>72</v>
      </c>
      <c r="C73" s="30">
        <v>2400000</v>
      </c>
      <c r="D73" s="30">
        <v>2400000</v>
      </c>
      <c r="E73" s="15"/>
      <c r="F73" s="79"/>
      <c r="G73" s="106"/>
      <c r="H73" s="94"/>
      <c r="I73" s="79"/>
      <c r="J73" s="79"/>
      <c r="K73" s="79"/>
    </row>
    <row r="74" spans="2:12" x14ac:dyDescent="0.25">
      <c r="B74" s="33" t="s">
        <v>100</v>
      </c>
      <c r="C74" s="34">
        <f>C43+C61+C69</f>
        <v>51726000</v>
      </c>
      <c r="D74" s="34">
        <f>D43+D61+D69</f>
        <v>65270780.799999997</v>
      </c>
      <c r="E74" s="15"/>
      <c r="F74" s="79"/>
      <c r="G74" s="106"/>
      <c r="H74" s="94"/>
      <c r="I74" s="79"/>
      <c r="J74" s="79"/>
      <c r="K74" s="79"/>
    </row>
    <row r="75" spans="2:12" x14ac:dyDescent="0.25">
      <c r="B75" s="33" t="s">
        <v>101</v>
      </c>
      <c r="C75" s="34">
        <f>L46</f>
        <v>60888393.65792717</v>
      </c>
      <c r="D75" s="34">
        <f>M46</f>
        <v>76832405.283816159</v>
      </c>
      <c r="E75" s="15"/>
      <c r="F75" s="93" t="s">
        <v>150</v>
      </c>
      <c r="G75" s="107">
        <v>9.3000000000000007</v>
      </c>
      <c r="H75" s="94">
        <f>G75*16250</f>
        <v>151125</v>
      </c>
      <c r="I75" s="110" t="s">
        <v>153</v>
      </c>
      <c r="J75" s="111"/>
      <c r="K75" s="112"/>
      <c r="L75" t="s">
        <v>154</v>
      </c>
    </row>
    <row r="76" spans="2:12" x14ac:dyDescent="0.25">
      <c r="B76" s="120" t="s">
        <v>95</v>
      </c>
      <c r="C76" s="121"/>
      <c r="D76" s="122"/>
      <c r="E76" s="15"/>
      <c r="F76" s="93"/>
      <c r="G76" s="108"/>
      <c r="H76" s="94"/>
      <c r="I76" s="113"/>
      <c r="J76" s="114"/>
      <c r="K76" s="115"/>
    </row>
    <row r="77" spans="2:12" x14ac:dyDescent="0.25">
      <c r="B77" s="30" t="s">
        <v>74</v>
      </c>
      <c r="C77" s="30">
        <v>10800000</v>
      </c>
      <c r="D77" s="30">
        <v>10800000</v>
      </c>
      <c r="E77" s="15"/>
      <c r="F77" s="93"/>
      <c r="G77" s="109"/>
      <c r="H77" s="94"/>
      <c r="I77" s="116"/>
      <c r="J77" s="117"/>
      <c r="K77" s="118"/>
    </row>
    <row r="78" spans="2:12" ht="15" customHeight="1" x14ac:dyDescent="0.25">
      <c r="B78" s="30" t="s">
        <v>75</v>
      </c>
      <c r="C78" s="30">
        <v>3840000</v>
      </c>
      <c r="D78" s="30">
        <v>3840000</v>
      </c>
      <c r="E78" s="13"/>
      <c r="F78" s="93" t="s">
        <v>155</v>
      </c>
      <c r="G78" s="106">
        <v>9.3000000000000007</v>
      </c>
      <c r="H78" s="94">
        <f>G78*16250</f>
        <v>151125</v>
      </c>
      <c r="I78" s="95" t="s">
        <v>156</v>
      </c>
      <c r="J78" s="96"/>
      <c r="K78" s="97"/>
      <c r="L78" s="15" t="s">
        <v>157</v>
      </c>
    </row>
    <row r="79" spans="2:12" x14ac:dyDescent="0.25">
      <c r="B79" s="30" t="s">
        <v>76</v>
      </c>
      <c r="C79" s="30">
        <v>7200000</v>
      </c>
      <c r="D79" s="30">
        <v>7200000</v>
      </c>
      <c r="E79" s="13"/>
      <c r="F79" s="93"/>
      <c r="G79" s="106"/>
      <c r="H79" s="94"/>
      <c r="I79" s="98"/>
      <c r="J79" s="99"/>
      <c r="K79" s="100"/>
      <c r="L79" s="15"/>
    </row>
    <row r="80" spans="2:12" x14ac:dyDescent="0.25">
      <c r="B80" s="30" t="s">
        <v>77</v>
      </c>
      <c r="C80" s="30">
        <v>9000000</v>
      </c>
      <c r="D80" s="30">
        <v>9000000</v>
      </c>
      <c r="E80" s="13"/>
      <c r="F80" s="93"/>
      <c r="G80" s="106"/>
      <c r="H80" s="94"/>
      <c r="I80" s="101"/>
      <c r="J80" s="102"/>
      <c r="K80" s="103"/>
      <c r="L80" s="15"/>
    </row>
    <row r="81" spans="2:12" x14ac:dyDescent="0.25">
      <c r="B81" s="30" t="s">
        <v>78</v>
      </c>
      <c r="C81" s="30">
        <v>6600000</v>
      </c>
      <c r="D81" s="30">
        <v>6600000</v>
      </c>
      <c r="E81" s="15"/>
      <c r="F81" s="93" t="s">
        <v>158</v>
      </c>
      <c r="G81" s="106"/>
      <c r="H81" s="94">
        <v>421986</v>
      </c>
      <c r="I81" s="95" t="s">
        <v>159</v>
      </c>
      <c r="J81" s="96"/>
      <c r="K81" s="97"/>
    </row>
    <row r="82" spans="2:12" x14ac:dyDescent="0.25">
      <c r="B82" s="30" t="s">
        <v>79</v>
      </c>
      <c r="C82" s="30">
        <v>3000000</v>
      </c>
      <c r="D82" s="30">
        <v>3000000</v>
      </c>
      <c r="E82" s="15"/>
      <c r="F82" s="93"/>
      <c r="G82" s="106"/>
      <c r="H82" s="94"/>
      <c r="I82" s="98"/>
      <c r="J82" s="99"/>
      <c r="K82" s="100"/>
    </row>
    <row r="83" spans="2:12" x14ac:dyDescent="0.25">
      <c r="B83" s="30" t="s">
        <v>80</v>
      </c>
      <c r="C83" s="30">
        <v>3000000</v>
      </c>
      <c r="D83" s="30">
        <v>3000000</v>
      </c>
      <c r="E83" s="15"/>
      <c r="F83" s="93"/>
      <c r="G83" s="106"/>
      <c r="H83" s="94"/>
      <c r="I83" s="101"/>
      <c r="J83" s="102"/>
      <c r="K83" s="103"/>
    </row>
    <row r="84" spans="2:12" x14ac:dyDescent="0.25">
      <c r="B84" s="30" t="s">
        <v>81</v>
      </c>
      <c r="C84" s="30">
        <v>3000000</v>
      </c>
      <c r="D84" s="30">
        <v>3000000</v>
      </c>
      <c r="E84" s="15"/>
      <c r="F84" s="93" t="s">
        <v>158</v>
      </c>
      <c r="G84" s="106"/>
      <c r="H84" s="94">
        <v>681623</v>
      </c>
      <c r="I84" s="95" t="s">
        <v>159</v>
      </c>
      <c r="J84" s="96"/>
      <c r="K84" s="97"/>
      <c r="L84" t="s">
        <v>160</v>
      </c>
    </row>
    <row r="85" spans="2:12" x14ac:dyDescent="0.25">
      <c r="B85" s="30" t="s">
        <v>82</v>
      </c>
      <c r="C85" s="30">
        <v>2640000</v>
      </c>
      <c r="D85" s="30">
        <v>2640000</v>
      </c>
      <c r="E85" s="15"/>
      <c r="F85" s="93"/>
      <c r="G85" s="106"/>
      <c r="H85" s="94"/>
      <c r="I85" s="98"/>
      <c r="J85" s="99"/>
      <c r="K85" s="100"/>
    </row>
    <row r="86" spans="2:12" x14ac:dyDescent="0.25">
      <c r="B86" s="30" t="s">
        <v>83</v>
      </c>
      <c r="C86" s="30">
        <v>2640000</v>
      </c>
      <c r="D86" s="30">
        <v>2640000</v>
      </c>
      <c r="E86" s="15"/>
      <c r="F86" s="93"/>
      <c r="G86" s="106"/>
      <c r="H86" s="94"/>
      <c r="I86" s="101"/>
      <c r="J86" s="102"/>
      <c r="K86" s="103"/>
    </row>
    <row r="87" spans="2:12" x14ac:dyDescent="0.25">
      <c r="B87" s="30" t="s">
        <v>84</v>
      </c>
      <c r="C87" s="30">
        <v>2640000</v>
      </c>
      <c r="D87" s="30">
        <v>2640000</v>
      </c>
      <c r="E87" s="15"/>
      <c r="F87" s="93" t="s">
        <v>161</v>
      </c>
      <c r="G87" s="94">
        <v>79842898</v>
      </c>
      <c r="H87" s="94">
        <f>(G87/15)/12</f>
        <v>443571.65555555554</v>
      </c>
      <c r="I87" s="95" t="s">
        <v>159</v>
      </c>
      <c r="J87" s="96"/>
      <c r="K87" s="97"/>
    </row>
    <row r="88" spans="2:12" x14ac:dyDescent="0.25">
      <c r="B88" s="30" t="s">
        <v>85</v>
      </c>
      <c r="C88" s="30">
        <v>6600000</v>
      </c>
      <c r="D88" s="30">
        <v>6600000</v>
      </c>
      <c r="E88" s="15"/>
      <c r="F88" s="93"/>
      <c r="G88" s="94"/>
      <c r="H88" s="94"/>
      <c r="I88" s="98"/>
      <c r="J88" s="99"/>
      <c r="K88" s="100"/>
    </row>
    <row r="89" spans="2:12" x14ac:dyDescent="0.25">
      <c r="B89" s="30" t="s">
        <v>86</v>
      </c>
      <c r="C89" s="30">
        <v>6600000</v>
      </c>
      <c r="D89" s="30">
        <v>6600000</v>
      </c>
      <c r="E89" s="15"/>
      <c r="F89" s="93"/>
      <c r="G89" s="94"/>
      <c r="H89" s="94"/>
      <c r="I89" s="101"/>
      <c r="J89" s="102"/>
      <c r="K89" s="103"/>
    </row>
    <row r="90" spans="2:12" x14ac:dyDescent="0.25">
      <c r="B90" s="30" t="s">
        <v>87</v>
      </c>
      <c r="C90" s="30">
        <v>3600000</v>
      </c>
      <c r="D90" s="30">
        <v>3600000</v>
      </c>
      <c r="E90" s="15"/>
      <c r="F90" s="15"/>
      <c r="G90" s="15"/>
    </row>
    <row r="91" spans="2:12" x14ac:dyDescent="0.25">
      <c r="B91" s="30" t="s">
        <v>88</v>
      </c>
      <c r="C91" s="30">
        <v>3240000</v>
      </c>
      <c r="D91" s="30">
        <v>3240000</v>
      </c>
      <c r="E91" s="15"/>
      <c r="F91" s="15"/>
      <c r="G91" s="15"/>
      <c r="I91" s="7" t="s">
        <v>164</v>
      </c>
      <c r="J91" s="7" t="s">
        <v>24</v>
      </c>
    </row>
    <row r="92" spans="2:12" x14ac:dyDescent="0.25">
      <c r="B92" s="33" t="s">
        <v>100</v>
      </c>
      <c r="C92" s="34">
        <f>SUM(C77:C91)</f>
        <v>74400000</v>
      </c>
      <c r="D92" s="34">
        <f>SUM(D77:D91)</f>
        <v>74400000</v>
      </c>
      <c r="E92" s="15"/>
      <c r="F92" s="104" t="s">
        <v>163</v>
      </c>
      <c r="G92" s="104"/>
      <c r="H92" s="105"/>
      <c r="I92" s="8">
        <v>625000</v>
      </c>
      <c r="J92" s="10">
        <f>I92*12</f>
        <v>7500000</v>
      </c>
    </row>
    <row r="93" spans="2:12" x14ac:dyDescent="0.25">
      <c r="B93" s="33" t="s">
        <v>102</v>
      </c>
      <c r="C93" s="34">
        <f>J46</f>
        <v>95380409.010148764</v>
      </c>
      <c r="D93" s="34">
        <f>C93</f>
        <v>95380409.010148764</v>
      </c>
      <c r="E93" s="15"/>
      <c r="F93" s="32"/>
      <c r="G93" s="32"/>
    </row>
    <row r="94" spans="2:12" x14ac:dyDescent="0.25">
      <c r="B94" s="64" t="s">
        <v>165</v>
      </c>
      <c r="C94" s="64"/>
      <c r="D94" s="64"/>
      <c r="E94" s="64"/>
      <c r="F94" s="80" t="s">
        <v>168</v>
      </c>
      <c r="G94" s="80"/>
      <c r="H94" s="36"/>
      <c r="I94" s="80" t="s">
        <v>169</v>
      </c>
      <c r="J94" s="80"/>
    </row>
    <row r="95" spans="2:12" ht="15" customHeight="1" x14ac:dyDescent="0.25">
      <c r="B95" s="64"/>
      <c r="C95" s="64"/>
      <c r="D95" s="64"/>
      <c r="E95" s="64"/>
      <c r="F95" s="51" t="s">
        <v>21</v>
      </c>
      <c r="G95" s="51" t="s">
        <v>4</v>
      </c>
      <c r="H95" s="36"/>
      <c r="I95" s="51" t="s">
        <v>21</v>
      </c>
      <c r="J95" s="51" t="s">
        <v>4</v>
      </c>
    </row>
    <row r="96" spans="2:12" ht="15" customHeight="1" x14ac:dyDescent="0.25">
      <c r="B96" s="64"/>
      <c r="C96" s="64"/>
      <c r="D96" s="64"/>
      <c r="E96" s="64"/>
      <c r="F96" s="21" t="s">
        <v>167</v>
      </c>
      <c r="G96" s="12">
        <v>175</v>
      </c>
      <c r="H96" s="36"/>
      <c r="I96" s="21" t="s">
        <v>167</v>
      </c>
      <c r="J96" s="12">
        <v>89</v>
      </c>
      <c r="K96" s="63"/>
      <c r="L96" s="63"/>
    </row>
    <row r="97" spans="6:10" x14ac:dyDescent="0.25">
      <c r="F97" s="21" t="s">
        <v>166</v>
      </c>
      <c r="G97" s="12">
        <v>103</v>
      </c>
      <c r="H97" s="36"/>
      <c r="I97" s="21" t="s">
        <v>170</v>
      </c>
      <c r="J97" s="12">
        <v>44</v>
      </c>
    </row>
    <row r="98" spans="6:10" x14ac:dyDescent="0.25">
      <c r="F98" s="65" t="s">
        <v>4</v>
      </c>
      <c r="G98" s="59">
        <f>SUM(G96:G97)</f>
        <v>278</v>
      </c>
      <c r="H98" s="36"/>
      <c r="I98" s="65" t="s">
        <v>25</v>
      </c>
      <c r="J98" s="66">
        <f>((J97*100)/J96)*0.01</f>
        <v>0.49438202247191015</v>
      </c>
    </row>
    <row r="99" spans="6:10" x14ac:dyDescent="0.25">
      <c r="F99" s="65" t="s">
        <v>171</v>
      </c>
      <c r="G99" s="59">
        <f>G98*J98</f>
        <v>137.43820224719101</v>
      </c>
      <c r="H99" s="36"/>
    </row>
  </sheetData>
  <mergeCells count="46">
    <mergeCell ref="G72:G74"/>
    <mergeCell ref="H72:H74"/>
    <mergeCell ref="F75:F77"/>
    <mergeCell ref="F3:G3"/>
    <mergeCell ref="B2:D2"/>
    <mergeCell ref="G2:I2"/>
    <mergeCell ref="J2:L2"/>
    <mergeCell ref="F20:K20"/>
    <mergeCell ref="I72:K74"/>
    <mergeCell ref="I71:K71"/>
    <mergeCell ref="I75:K77"/>
    <mergeCell ref="B16:D16"/>
    <mergeCell ref="B9:D9"/>
    <mergeCell ref="F10:J10"/>
    <mergeCell ref="B76:D76"/>
    <mergeCell ref="F62:M62"/>
    <mergeCell ref="K40:M40"/>
    <mergeCell ref="E56:H56"/>
    <mergeCell ref="B40:D40"/>
    <mergeCell ref="B41:D41"/>
    <mergeCell ref="I40:J40"/>
    <mergeCell ref="E50:H50"/>
    <mergeCell ref="H41:I41"/>
    <mergeCell ref="F72:F74"/>
    <mergeCell ref="F78:F80"/>
    <mergeCell ref="G78:G80"/>
    <mergeCell ref="H78:H80"/>
    <mergeCell ref="I78:K80"/>
    <mergeCell ref="G75:G77"/>
    <mergeCell ref="H75:H77"/>
    <mergeCell ref="J50:L50"/>
    <mergeCell ref="F94:G94"/>
    <mergeCell ref="I94:J94"/>
    <mergeCell ref="F87:F89"/>
    <mergeCell ref="G87:G89"/>
    <mergeCell ref="H87:H89"/>
    <mergeCell ref="I87:K89"/>
    <mergeCell ref="F92:H92"/>
    <mergeCell ref="F81:F83"/>
    <mergeCell ref="G81:G83"/>
    <mergeCell ref="H81:H83"/>
    <mergeCell ref="I81:K83"/>
    <mergeCell ref="F84:F86"/>
    <mergeCell ref="G84:G86"/>
    <mergeCell ref="H84:H86"/>
    <mergeCell ref="I84:K86"/>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30"/>
  <sheetViews>
    <sheetView tabSelected="1" topLeftCell="A22" workbookViewId="0">
      <selection activeCell="D27" sqref="D27:D28"/>
    </sheetView>
  </sheetViews>
  <sheetFormatPr baseColWidth="10" defaultRowHeight="15" x14ac:dyDescent="0.25"/>
  <cols>
    <col min="3" max="3" width="17.140625" customWidth="1"/>
  </cols>
  <sheetData>
    <row r="2" spans="3:6" x14ac:dyDescent="0.25">
      <c r="C2" s="134" t="s">
        <v>0</v>
      </c>
      <c r="D2" s="134" t="s">
        <v>46</v>
      </c>
      <c r="E2" s="134" t="s">
        <v>25</v>
      </c>
      <c r="F2" s="134" t="s">
        <v>190</v>
      </c>
    </row>
    <row r="3" spans="3:6" x14ac:dyDescent="0.25">
      <c r="C3" s="135" t="s">
        <v>5</v>
      </c>
      <c r="D3" s="136">
        <v>37</v>
      </c>
      <c r="E3" s="139">
        <f>((D3*100/$D$19))*0.01</f>
        <v>6.7641681901279713E-2</v>
      </c>
      <c r="F3" s="141">
        <v>56.604350885781606</v>
      </c>
    </row>
    <row r="4" spans="3:6" x14ac:dyDescent="0.25">
      <c r="C4" s="135" t="s">
        <v>6</v>
      </c>
      <c r="D4" s="136">
        <v>15</v>
      </c>
      <c r="E4" s="139">
        <f t="shared" ref="E4:E19" si="0">((D4*100/$D$19))*0.01</f>
        <v>2.7422303473491772E-2</v>
      </c>
      <c r="F4" s="141">
        <v>14.770466943694979</v>
      </c>
    </row>
    <row r="5" spans="3:6" x14ac:dyDescent="0.25">
      <c r="C5" s="135" t="s">
        <v>7</v>
      </c>
      <c r="D5" s="136">
        <v>12</v>
      </c>
      <c r="E5" s="139">
        <f t="shared" si="0"/>
        <v>2.1937842778793418E-2</v>
      </c>
      <c r="F5" s="141">
        <v>5.8824682836918365</v>
      </c>
    </row>
    <row r="6" spans="3:6" x14ac:dyDescent="0.25">
      <c r="C6" s="135" t="s">
        <v>8</v>
      </c>
      <c r="D6" s="136">
        <v>11</v>
      </c>
      <c r="E6" s="139">
        <f t="shared" si="0"/>
        <v>2.0109689213893969E-2</v>
      </c>
      <c r="F6" s="141">
        <v>12.754658349083405</v>
      </c>
    </row>
    <row r="7" spans="3:6" x14ac:dyDescent="0.25">
      <c r="C7" s="135" t="s">
        <v>9</v>
      </c>
      <c r="D7" s="136">
        <v>25</v>
      </c>
      <c r="E7" s="139">
        <f t="shared" si="0"/>
        <v>4.5703839122486295E-2</v>
      </c>
      <c r="F7" s="141">
        <v>12.526807367767022</v>
      </c>
    </row>
    <row r="8" spans="3:6" x14ac:dyDescent="0.25">
      <c r="C8" s="135" t="s">
        <v>10</v>
      </c>
      <c r="D8" s="136">
        <v>69</v>
      </c>
      <c r="E8" s="139">
        <f t="shared" si="0"/>
        <v>0.12614259597806216</v>
      </c>
      <c r="F8" s="141">
        <v>15.59819434344846</v>
      </c>
    </row>
    <row r="9" spans="3:6" x14ac:dyDescent="0.25">
      <c r="C9" s="135" t="s">
        <v>11</v>
      </c>
      <c r="D9" s="136">
        <v>142</v>
      </c>
      <c r="E9" s="139">
        <f t="shared" si="0"/>
        <v>0.25959780621572209</v>
      </c>
      <c r="F9" s="141">
        <v>8.0423958863711409</v>
      </c>
    </row>
    <row r="10" spans="3:6" x14ac:dyDescent="0.25">
      <c r="C10" s="135" t="s">
        <v>191</v>
      </c>
      <c r="D10" s="136">
        <v>7</v>
      </c>
      <c r="E10" s="139">
        <f t="shared" si="0"/>
        <v>1.2797074954296161E-2</v>
      </c>
      <c r="F10" s="141">
        <v>3.0734510904165404</v>
      </c>
    </row>
    <row r="11" spans="3:6" x14ac:dyDescent="0.25">
      <c r="C11" s="135" t="s">
        <v>14</v>
      </c>
      <c r="D11" s="136">
        <v>49</v>
      </c>
      <c r="E11" s="139">
        <f t="shared" si="0"/>
        <v>8.957952468007313E-2</v>
      </c>
      <c r="F11" s="141">
        <v>19.34327604039192</v>
      </c>
    </row>
    <row r="12" spans="3:6" x14ac:dyDescent="0.25">
      <c r="C12" s="135" t="s">
        <v>12</v>
      </c>
      <c r="D12" s="136">
        <v>1</v>
      </c>
      <c r="E12" s="139">
        <f t="shared" si="0"/>
        <v>1.8281535648994515E-3</v>
      </c>
      <c r="F12" s="141">
        <v>0.88624983382815625</v>
      </c>
    </row>
    <row r="13" spans="3:6" x14ac:dyDescent="0.25">
      <c r="C13" s="135" t="s">
        <v>15</v>
      </c>
      <c r="D13" s="136">
        <v>59</v>
      </c>
      <c r="E13" s="139">
        <f t="shared" si="0"/>
        <v>0.10786106032906764</v>
      </c>
      <c r="F13" s="141">
        <v>16.611669838838647</v>
      </c>
    </row>
    <row r="14" spans="3:6" x14ac:dyDescent="0.25">
      <c r="C14" s="135" t="s">
        <v>16</v>
      </c>
      <c r="D14" s="136">
        <v>23</v>
      </c>
      <c r="E14" s="139">
        <f t="shared" si="0"/>
        <v>4.204753199268739E-2</v>
      </c>
      <c r="F14" s="141">
        <v>9.1945200660406403</v>
      </c>
    </row>
    <row r="15" spans="3:6" x14ac:dyDescent="0.25">
      <c r="C15" s="135" t="s">
        <v>17</v>
      </c>
      <c r="D15" s="136">
        <v>13</v>
      </c>
      <c r="E15" s="139">
        <f t="shared" si="0"/>
        <v>2.376599634369287E-2</v>
      </c>
      <c r="F15" s="141">
        <v>15.681544028950544</v>
      </c>
    </row>
    <row r="16" spans="3:6" x14ac:dyDescent="0.25">
      <c r="C16" s="135" t="s">
        <v>18</v>
      </c>
      <c r="D16" s="136">
        <v>78</v>
      </c>
      <c r="E16" s="139">
        <f t="shared" si="0"/>
        <v>0.14259597806215724</v>
      </c>
      <c r="F16" s="141">
        <v>34.494348233712479</v>
      </c>
    </row>
    <row r="17" spans="3:6" x14ac:dyDescent="0.25">
      <c r="C17" s="135" t="s">
        <v>19</v>
      </c>
      <c r="D17" s="136">
        <v>4</v>
      </c>
      <c r="E17" s="139">
        <f t="shared" si="0"/>
        <v>7.3126142595978062E-3</v>
      </c>
      <c r="F17" s="141">
        <v>12.939539999353022</v>
      </c>
    </row>
    <row r="18" spans="3:6" x14ac:dyDescent="0.25">
      <c r="C18" s="135" t="s">
        <v>20</v>
      </c>
      <c r="D18" s="136">
        <v>2</v>
      </c>
      <c r="E18" s="139">
        <f t="shared" si="0"/>
        <v>3.6563071297989031E-3</v>
      </c>
      <c r="F18" s="141">
        <v>2.4125452352231602</v>
      </c>
    </row>
    <row r="19" spans="3:6" x14ac:dyDescent="0.25">
      <c r="C19" s="137" t="s">
        <v>4</v>
      </c>
      <c r="D19" s="138">
        <v>547</v>
      </c>
      <c r="E19" s="140">
        <f t="shared" si="0"/>
        <v>1</v>
      </c>
      <c r="F19" s="142">
        <v>12.191314321906644</v>
      </c>
    </row>
    <row r="22" spans="3:6" ht="31.5" x14ac:dyDescent="0.25">
      <c r="C22" s="144" t="s">
        <v>192</v>
      </c>
      <c r="D22" s="143">
        <v>0.53200000000000003</v>
      </c>
    </row>
    <row r="23" spans="3:6" ht="31.5" x14ac:dyDescent="0.25">
      <c r="C23" s="144" t="s">
        <v>193</v>
      </c>
      <c r="D23" s="143">
        <v>0.188</v>
      </c>
    </row>
    <row r="24" spans="3:6" ht="31.5" x14ac:dyDescent="0.25">
      <c r="C24" s="144" t="s">
        <v>194</v>
      </c>
      <c r="D24" s="143">
        <v>0.18</v>
      </c>
    </row>
    <row r="25" spans="3:6" ht="47.25" x14ac:dyDescent="0.25">
      <c r="C25" s="144" t="s">
        <v>195</v>
      </c>
      <c r="D25" s="143">
        <v>0.13600000000000001</v>
      </c>
    </row>
    <row r="26" spans="3:6" ht="31.5" x14ac:dyDescent="0.25">
      <c r="C26" s="144" t="s">
        <v>199</v>
      </c>
      <c r="D26" s="143">
        <v>4.5999999999999999E-2</v>
      </c>
    </row>
    <row r="27" spans="3:6" ht="31.5" x14ac:dyDescent="0.25">
      <c r="C27" s="144" t="s">
        <v>196</v>
      </c>
      <c r="D27" s="143">
        <v>4.5999999999999999E-2</v>
      </c>
    </row>
    <row r="28" spans="3:6" ht="31.5" x14ac:dyDescent="0.25">
      <c r="C28" s="144" t="s">
        <v>200</v>
      </c>
      <c r="D28" s="143">
        <v>2.8000000000000001E-2</v>
      </c>
    </row>
    <row r="29" spans="3:6" ht="31.5" x14ac:dyDescent="0.25">
      <c r="C29" s="144" t="s">
        <v>197</v>
      </c>
      <c r="D29" s="143">
        <v>0.02</v>
      </c>
    </row>
    <row r="30" spans="3:6" ht="15.75" x14ac:dyDescent="0.25">
      <c r="C30" s="144" t="s">
        <v>198</v>
      </c>
      <c r="D30" s="143">
        <v>0.17299999999999999</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Costo final</vt:lpstr>
      <vt:lpstr>Intervención inicial</vt:lpstr>
      <vt:lpstr>Acogimiento</vt:lpstr>
      <vt:lpstr>Integración social</vt:lpstr>
      <vt:lpstr>Anexos</vt:lpstr>
      <vt:lpstr>Hoja1</vt:lpstr>
      <vt:lpstr>CPM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2019-07-01T11:58:00Z</dcterms:modified>
</cp:coreProperties>
</file>